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grundfos-my.sharepoint.com/personal/79986_grundfos_com/Documents/Documents/BJRO/Fjernvarme møde/beregninger/"/>
    </mc:Choice>
  </mc:AlternateContent>
  <xr:revisionPtr revIDLastSave="5" documentId="13_ncr:1_{109566D0-AB1E-4904-8DE0-1413502DBE0C}" xr6:coauthVersionLast="47" xr6:coauthVersionMax="47" xr10:uidLastSave="{46A692AC-67F5-47C7-B7A4-B9FD4633C3B4}"/>
  <bookViews>
    <workbookView xWindow="-120" yWindow="-120" windowWidth="29040" windowHeight="15840" activeTab="1" xr2:uid="{00000000-000D-0000-FFFF-FFFF00000000}"/>
  </bookViews>
  <sheets>
    <sheet name="Input" sheetId="2" r:id="rId1"/>
    <sheet name="Resultat" sheetId="3" r:id="rId2"/>
    <sheet name="Grafik dat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19" i="3" s="1"/>
  <c r="D9" i="3" a="1"/>
  <c r="D9" i="3" s="1"/>
  <c r="C22" i="2" l="1"/>
  <c r="D16" i="3"/>
  <c r="C5" i="2"/>
  <c r="C6" i="2" s="1"/>
  <c r="C15" i="2"/>
  <c r="C12" i="2"/>
  <c r="C7" i="2"/>
  <c r="C32" i="2"/>
  <c r="C36" i="2"/>
  <c r="C27" i="2"/>
  <c r="C26" i="2"/>
  <c r="C10" i="2"/>
  <c r="C11" i="2" l="1"/>
  <c r="K32" i="4"/>
  <c r="K31" i="4"/>
  <c r="K30" i="4"/>
  <c r="K29" i="4"/>
  <c r="D4" i="4"/>
  <c r="F15" i="3"/>
  <c r="F17" i="3" s="1"/>
  <c r="F20" i="3" s="1"/>
  <c r="L32" i="4" s="1"/>
  <c r="E15" i="3"/>
  <c r="C15" i="3"/>
  <c r="E12" i="3"/>
  <c r="F8" i="3"/>
  <c r="F9" i="3" s="1"/>
  <c r="F19" i="3" s="1"/>
  <c r="E8" i="3"/>
  <c r="E9" i="3" s="1"/>
  <c r="C28" i="2"/>
  <c r="G29" i="2"/>
  <c r="G27" i="2" l="1"/>
  <c r="G28" i="2"/>
  <c r="D13" i="3"/>
  <c r="F26" i="2"/>
  <c r="F27" i="2" s="1"/>
  <c r="G26" i="2"/>
  <c r="E17" i="3"/>
  <c r="E19" i="3"/>
  <c r="D19" i="3"/>
  <c r="D12" i="3"/>
  <c r="C37" i="2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G7" i="4" l="1"/>
  <c r="C7" i="3"/>
  <c r="C8" i="3" s="1"/>
  <c r="D7" i="3"/>
  <c r="D8" i="3" s="1"/>
  <c r="C39" i="2"/>
  <c r="C40" i="2" s="1"/>
  <c r="C42" i="2" s="1"/>
  <c r="C12" i="3"/>
  <c r="C17" i="3" s="1"/>
  <c r="F28" i="2"/>
  <c r="H27" i="2"/>
  <c r="H26" i="2"/>
  <c r="E20" i="3"/>
  <c r="L31" i="4" s="1"/>
  <c r="G8" i="4" l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H28" i="2"/>
  <c r="F29" i="2"/>
  <c r="H29" i="2" s="1"/>
  <c r="C20" i="3"/>
  <c r="L29" i="4" s="1"/>
  <c r="E7" i="4"/>
  <c r="E8" i="4" l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H30" i="2"/>
  <c r="D14" i="3" s="1"/>
  <c r="D22" i="3" s="1"/>
  <c r="D17" i="3" l="1"/>
  <c r="D20" i="3" s="1"/>
  <c r="D21" i="3" s="1"/>
  <c r="L30" i="4" l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<sst xmlns="http://schemas.openxmlformats.org/spreadsheetml/2006/main" count="132" uniqueCount="105">
  <si>
    <t>m3</t>
  </si>
  <si>
    <t>m2</t>
  </si>
  <si>
    <t>kWh</t>
  </si>
  <si>
    <t>Elpris</t>
  </si>
  <si>
    <t>INPUTS</t>
  </si>
  <si>
    <t>Forklaring</t>
  </si>
  <si>
    <t>Grønne felter kræver dit input (tjek varmeregning, strømforbrug, BBR register, vælg løbetid til konv. bidrag)</t>
  </si>
  <si>
    <t>Årligt gasforbrug</t>
  </si>
  <si>
    <t>Gule felter er input du kan justere hvis du vil. Fx hvis du tror prisen på el, gas, piller, service er anderledes</t>
  </si>
  <si>
    <t>Omregnet til kWh</t>
  </si>
  <si>
    <t>1 m3 gas = 11 kWh</t>
  </si>
  <si>
    <t>Gaspris</t>
  </si>
  <si>
    <t>kr/m2</t>
  </si>
  <si>
    <t>Årlig service</t>
  </si>
  <si>
    <t>kr/år</t>
  </si>
  <si>
    <t>Årligt træpilleforbrug</t>
  </si>
  <si>
    <t>kg</t>
  </si>
  <si>
    <t>Gennemsnit pillepris</t>
  </si>
  <si>
    <t>kr/kg</t>
  </si>
  <si>
    <t>SCOP for varmepumpe</t>
  </si>
  <si>
    <t>kr</t>
  </si>
  <si>
    <t>Abonnement, FJV</t>
  </si>
  <si>
    <t>Forbrugsbidrag, FJV</t>
  </si>
  <si>
    <t>kr/kWh</t>
  </si>
  <si>
    <t>Effektbidrag, FJV</t>
  </si>
  <si>
    <t>Konverteringsbidrag, løbetid [år]</t>
  </si>
  <si>
    <t>Konv. Bidrag</t>
  </si>
  <si>
    <t>kr/m2/år</t>
  </si>
  <si>
    <t>Fjernvarme+ pr måned</t>
  </si>
  <si>
    <t>kr/md</t>
  </si>
  <si>
    <t>Grænse</t>
  </si>
  <si>
    <t>Areal</t>
  </si>
  <si>
    <t>Pr m2</t>
  </si>
  <si>
    <t>Konverteringbidragssats</t>
  </si>
  <si>
    <t>Husareal ifølge BBR [m2]</t>
  </si>
  <si>
    <t>areal 0-150 m2</t>
  </si>
  <si>
    <t>Sekundært (fx kælder, opvarmet værksted)</t>
  </si>
  <si>
    <t>areal 150-200 m2</t>
  </si>
  <si>
    <t>Samlet vægtet areal</t>
  </si>
  <si>
    <t>areal 200-250</t>
  </si>
  <si>
    <t>areal over 250 plus sek. Areal</t>
  </si>
  <si>
    <t>Strømpris</t>
  </si>
  <si>
    <t>Reduceret elafgift</t>
  </si>
  <si>
    <t>Reduceret afgift efter 2030?</t>
  </si>
  <si>
    <t>Type</t>
  </si>
  <si>
    <t>Årligt forbrug</t>
  </si>
  <si>
    <t>Enhed</t>
  </si>
  <si>
    <t>El-forbrug husstand</t>
  </si>
  <si>
    <t>El-forbrug Varmepumpe</t>
  </si>
  <si>
    <t>Total</t>
  </si>
  <si>
    <t>Reduceret afgiftsmængde</t>
  </si>
  <si>
    <t>Forbrug over 4000 kWh har reduceret afgift indtil 2030 (måske også efter?)</t>
  </si>
  <si>
    <t>Reduktion i afgift</t>
  </si>
  <si>
    <t>DKK/kWh</t>
  </si>
  <si>
    <t>Reduceret afgift</t>
  </si>
  <si>
    <t>DKK</t>
  </si>
  <si>
    <t>Varmepumpe</t>
  </si>
  <si>
    <t>Fjernvarme +</t>
  </si>
  <si>
    <t>Gas</t>
  </si>
  <si>
    <t>Pillefyr</t>
  </si>
  <si>
    <t>Tilslutning</t>
  </si>
  <si>
    <t xml:space="preserve">installation </t>
  </si>
  <si>
    <t>Tilskud (bygningspuljen)</t>
  </si>
  <si>
    <t>Venteomkostning (1 hhv 2 års gasforbrug)</t>
  </si>
  <si>
    <t>Fordelt over 20/30 år (input)</t>
  </si>
  <si>
    <t>Varmeforbrug</t>
  </si>
  <si>
    <t>effektbidrag (18,75kr/m2)</t>
  </si>
  <si>
    <t>Abonnement /måler gebyr</t>
  </si>
  <si>
    <t>Forbrug i alt/år</t>
  </si>
  <si>
    <t>Årligomskostning, tilslut og inst. kost</t>
  </si>
  <si>
    <t>I alt per år inkl varmeudgift</t>
  </si>
  <si>
    <t>Efter konverteringsbidrag bortfalder</t>
  </si>
  <si>
    <t>Konv. Bidrag slut</t>
  </si>
  <si>
    <t>År</t>
  </si>
  <si>
    <t>Årstal</t>
  </si>
  <si>
    <t>Fjernvarme+</t>
  </si>
  <si>
    <t>Ja</t>
  </si>
  <si>
    <t>Brændværdi på 4,2 kWh/kg (85% virkningsgrad)</t>
  </si>
  <si>
    <t>Oplyses ofte til 5, men vil realistisk være ml 3-4 (afhænger af hus). Ældre huse primært med radiator kan overveje at bruge 3,2, men nyere huse, primært med gulvarme kan bruge 3,5</t>
  </si>
  <si>
    <t>vælg mellem 30 eller 20 år. VI anbefaler 30, da pengesummen er den samme, og den er ikke indeksreguleret (Dvs. bidraget delees i flere små bidder, og pengenes værdi vil falde over tid - derfor er lang tid en god ting)</t>
  </si>
  <si>
    <t>Vælg mellem "Ja" eller "nej". Finansloven er vedtaget med afgiftsfritagelse til og med 2030. Det er usikkert hvad der sker derefter.</t>
  </si>
  <si>
    <t xml:space="preserve">Installationsomkostning for VP kan ændres hvis du har et mere præcist tal for din husstand. For de fleste vil 130.000 dog være et OK estimat. </t>
  </si>
  <si>
    <r>
      <t xml:space="preserve">OBS: Disse beregninger </t>
    </r>
    <r>
      <rPr>
        <i/>
        <sz val="11"/>
        <color rgb="FF000000"/>
        <rFont val="Calibri"/>
        <family val="2"/>
      </rPr>
      <t>kan</t>
    </r>
    <r>
      <rPr>
        <sz val="11"/>
        <color rgb="FF000000"/>
        <rFont val="Calibri"/>
        <family val="2"/>
      </rPr>
      <t xml:space="preserve"> være forkerte. Vi anbefaler I laver en beregning med Kredsløb også, og forhåbentlig er resultatet tæt på ens. </t>
    </r>
  </si>
  <si>
    <t>Inkluder ikke forbrug fra El-bil hvis du har sådan en</t>
  </si>
  <si>
    <t>Kommentar</t>
  </si>
  <si>
    <t>Skriv True/false</t>
  </si>
  <si>
    <t>årligt service af VP (lovpligtigt)</t>
  </si>
  <si>
    <t xml:space="preserve">ny unit/varmepumpe i løbet af 20 eller 30års beregning </t>
  </si>
  <si>
    <t>Elforbrug, husstand</t>
  </si>
  <si>
    <t>træpille pris</t>
  </si>
  <si>
    <t>kr/m3</t>
  </si>
  <si>
    <t>Husareal ifølge BBR</t>
  </si>
  <si>
    <t>Sekundært areal (fx kælder, opvarmet værksted)</t>
  </si>
  <si>
    <t>SCOP (varmepumpe)</t>
  </si>
  <si>
    <t>Grønne felter kræver dit input (tjek varmeregning, strømforbrug, BBR register)</t>
  </si>
  <si>
    <t>Gule felter er input du kan justere hvis du vil. Fx hvis du tror prisen på el, gas, piller er anderledes</t>
  </si>
  <si>
    <r>
      <t xml:space="preserve">Ligeledes skal man regne med at alle dele skal skiftes efter 15-18 år, og derfor er der lagt 130.000 til en ny unit ind (kan variere). </t>
    </r>
    <r>
      <rPr>
        <b/>
        <sz val="11"/>
        <color rgb="FF000000"/>
        <rFont val="Calibri"/>
        <family val="2"/>
      </rPr>
      <t>Bemærk at der skal bruges flere nye enheder hver ca. 15 år, og der tages kun højde for ét her</t>
    </r>
  </si>
  <si>
    <r>
      <t xml:space="preserve">For FJV vil 47.000 gælde for de fleste, men evt. ekstra omkostninger kan tilføjes i </t>
    </r>
    <r>
      <rPr>
        <b/>
        <sz val="11"/>
        <color rgb="FF000000"/>
        <rFont val="Calibri"/>
        <family val="2"/>
      </rPr>
      <t>celle D4</t>
    </r>
    <r>
      <rPr>
        <sz val="11"/>
        <color indexed="8"/>
        <rFont val="Calibri"/>
      </rPr>
      <t xml:space="preserve">. Fx hvis du har en stikledning over 20m </t>
    </r>
    <r>
      <rPr>
        <sz val="11"/>
        <color indexed="8"/>
        <rFont val="Calibri"/>
        <family val="2"/>
      </rPr>
      <t>(1036 kr/m)</t>
    </r>
  </si>
  <si>
    <t>Konverteringsbidrag, løbetid</t>
  </si>
  <si>
    <t>år</t>
  </si>
  <si>
    <t>Reduceret elafgift efter 2030?</t>
  </si>
  <si>
    <t>Der kan sættes "venteomkostninger" ind ved at skrive "true/False" i A7 (hvis du har dansk som sprog skal du skrive "sandt/falsk")</t>
  </si>
  <si>
    <t>I alt periode</t>
  </si>
  <si>
    <t>Konverteringsbidrag  (13,10 el. 19,65 kr/m2)</t>
  </si>
  <si>
    <t>Samlet udgift til konverteringsbidrag og installation: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</si>
</sst>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kr.-406]&quot; &quot;#,##0.000"/>
    <numFmt numFmtId="166" formatCode="[$kr.-406]&quot; &quot;#,##0.00"/>
    <numFmt numFmtId="167" formatCode="#,##0&quot; kr.&quot;"/>
    <numFmt numFmtId="168" formatCode="#,##0.00&quot; kr.&quot;"/>
    <numFmt numFmtId="169" formatCode="#,##0\ &quot;kr.&quot;"/>
  </numFmts>
  <fonts count="14" x14ac:knownFonts="1">
    <font>
      <sz val="11"/>
      <color indexed="8"/>
      <name val="Calibri"/>
    </font>
    <font>
      <b/>
      <sz val="11"/>
      <color indexed="8"/>
      <name val="Calibri"/>
    </font>
    <font>
      <b/>
      <u/>
      <sz val="14"/>
      <color indexed="8"/>
      <name val="Calibri"/>
    </font>
    <font>
      <i/>
      <sz val="11"/>
      <color indexed="8"/>
      <name val="Calibri"/>
    </font>
    <font>
      <b/>
      <sz val="12"/>
      <color indexed="8"/>
      <name val="Calibri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trike/>
      <sz val="11"/>
      <color indexed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8"/>
      </left>
      <right/>
      <top style="thin">
        <color indexed="17"/>
      </top>
      <bottom style="thin">
        <color indexed="17"/>
      </bottom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/>
      <top style="thin">
        <color indexed="17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7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/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13" fillId="0" borderId="0" applyNumberFormat="0" applyFill="0" applyBorder="0" applyAlignment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0" fillId="2" borderId="5" xfId="0" applyNumberFormat="1" applyFont="1" applyFill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49" fontId="0" fillId="3" borderId="5" xfId="0" applyNumberFormat="1" applyFont="1" applyFill="1" applyBorder="1" applyAlignment="1"/>
    <xf numFmtId="49" fontId="0" fillId="0" borderId="7" xfId="0" applyNumberFormat="1" applyFont="1" applyBorder="1" applyAlignment="1"/>
    <xf numFmtId="49" fontId="0" fillId="0" borderId="6" xfId="0" applyNumberFormat="1" applyFont="1" applyBorder="1" applyAlignment="1"/>
    <xf numFmtId="49" fontId="3" fillId="0" borderId="7" xfId="0" applyNumberFormat="1" applyFont="1" applyBorder="1" applyAlignment="1"/>
    <xf numFmtId="0" fontId="0" fillId="0" borderId="8" xfId="0" applyFont="1" applyBorder="1" applyAlignment="1"/>
    <xf numFmtId="49" fontId="0" fillId="0" borderId="9" xfId="0" applyNumberFormat="1" applyFont="1" applyBorder="1" applyAlignment="1"/>
    <xf numFmtId="49" fontId="0" fillId="0" borderId="11" xfId="0" applyNumberFormat="1" applyFont="1" applyBorder="1" applyAlignment="1"/>
    <xf numFmtId="49" fontId="0" fillId="0" borderId="12" xfId="0" applyNumberFormat="1" applyFont="1" applyBorder="1" applyAlignment="1"/>
    <xf numFmtId="49" fontId="0" fillId="0" borderId="14" xfId="0" applyNumberFormat="1" applyFont="1" applyBorder="1" applyAlignment="1"/>
    <xf numFmtId="0" fontId="0" fillId="0" borderId="15" xfId="0" applyFont="1" applyBorder="1" applyAlignment="1"/>
    <xf numFmtId="49" fontId="0" fillId="0" borderId="16" xfId="0" applyNumberFormat="1" applyFont="1" applyBorder="1" applyAlignment="1"/>
    <xf numFmtId="49" fontId="0" fillId="0" borderId="18" xfId="0" applyNumberFormat="1" applyFont="1" applyBorder="1" applyAlignment="1"/>
    <xf numFmtId="0" fontId="0" fillId="0" borderId="19" xfId="0" applyNumberFormat="1" applyFont="1" applyBorder="1" applyAlignment="1"/>
    <xf numFmtId="0" fontId="0" fillId="0" borderId="18" xfId="0" applyFont="1" applyBorder="1" applyAlignment="1"/>
    <xf numFmtId="49" fontId="0" fillId="0" borderId="20" xfId="0" applyNumberFormat="1" applyFont="1" applyBorder="1" applyAlignment="1"/>
    <xf numFmtId="0" fontId="0" fillId="0" borderId="21" xfId="0" applyNumberFormat="1" applyFont="1" applyBorder="1" applyAlignment="1"/>
    <xf numFmtId="49" fontId="0" fillId="0" borderId="22" xfId="0" applyNumberFormat="1" applyFont="1" applyBorder="1" applyAlignment="1"/>
    <xf numFmtId="0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0" borderId="11" xfId="0" applyFont="1" applyBorder="1" applyAlignment="1"/>
    <xf numFmtId="49" fontId="0" fillId="0" borderId="23" xfId="0" applyNumberFormat="1" applyFont="1" applyBorder="1" applyAlignment="1"/>
    <xf numFmtId="0" fontId="0" fillId="0" borderId="24" xfId="0" applyNumberFormat="1" applyFont="1" applyBorder="1" applyAlignment="1"/>
    <xf numFmtId="49" fontId="0" fillId="0" borderId="25" xfId="0" applyNumberFormat="1" applyFont="1" applyBorder="1" applyAlignment="1"/>
    <xf numFmtId="49" fontId="0" fillId="0" borderId="15" xfId="0" applyNumberFormat="1" applyFont="1" applyBorder="1" applyAlignment="1"/>
    <xf numFmtId="0" fontId="0" fillId="0" borderId="15" xfId="0" applyNumberFormat="1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49" fontId="0" fillId="0" borderId="26" xfId="0" applyNumberFormat="1" applyFont="1" applyBorder="1" applyAlignment="1">
      <alignment horizontal="right"/>
    </xf>
    <xf numFmtId="49" fontId="0" fillId="0" borderId="27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right"/>
    </xf>
    <xf numFmtId="49" fontId="1" fillId="0" borderId="1" xfId="0" applyNumberFormat="1" applyFont="1" applyBorder="1" applyAlignment="1"/>
    <xf numFmtId="164" fontId="0" fillId="0" borderId="1" xfId="0" applyNumberFormat="1" applyFont="1" applyBorder="1" applyAlignment="1"/>
    <xf numFmtId="49" fontId="0" fillId="0" borderId="1" xfId="0" applyNumberFormat="1" applyFont="1" applyBorder="1" applyAlignment="1"/>
    <xf numFmtId="9" fontId="0" fillId="0" borderId="1" xfId="0" applyNumberFormat="1" applyFont="1" applyBorder="1" applyAlignment="1"/>
    <xf numFmtId="49" fontId="1" fillId="0" borderId="7" xfId="0" applyNumberFormat="1" applyFont="1" applyBorder="1" applyAlignment="1"/>
    <xf numFmtId="0" fontId="0" fillId="0" borderId="23" xfId="0" applyFont="1" applyBorder="1" applyAlignment="1"/>
    <xf numFmtId="0" fontId="0" fillId="0" borderId="25" xfId="0" applyFont="1" applyBorder="1" applyAlignment="1">
      <alignment horizontal="right"/>
    </xf>
    <xf numFmtId="164" fontId="0" fillId="0" borderId="2" xfId="0" applyNumberFormat="1" applyFont="1" applyBorder="1" applyAlignment="1"/>
    <xf numFmtId="49" fontId="0" fillId="0" borderId="2" xfId="0" applyNumberFormat="1" applyFont="1" applyBorder="1" applyAlignment="1"/>
    <xf numFmtId="0" fontId="0" fillId="0" borderId="21" xfId="0" applyFont="1" applyBorder="1" applyAlignment="1"/>
    <xf numFmtId="164" fontId="1" fillId="4" borderId="10" xfId="0" applyNumberFormat="1" applyFont="1" applyFill="1" applyBorder="1" applyAlignment="1"/>
    <xf numFmtId="49" fontId="1" fillId="4" borderId="10" xfId="0" applyNumberFormat="1" applyFont="1" applyFill="1" applyBorder="1" applyAlignment="1"/>
    <xf numFmtId="0" fontId="0" fillId="0" borderId="29" xfId="0" applyFont="1" applyBorder="1" applyAlignment="1"/>
    <xf numFmtId="0" fontId="0" fillId="0" borderId="19" xfId="0" applyFont="1" applyBorder="1" applyAlignment="1"/>
    <xf numFmtId="49" fontId="3" fillId="0" borderId="19" xfId="0" applyNumberFormat="1" applyFont="1" applyBorder="1" applyAlignment="1"/>
    <xf numFmtId="49" fontId="3" fillId="0" borderId="6" xfId="0" applyNumberFormat="1" applyFont="1" applyBorder="1" applyAlignment="1"/>
    <xf numFmtId="1" fontId="1" fillId="0" borderId="1" xfId="0" applyNumberFormat="1" applyFont="1" applyBorder="1" applyAlignment="1"/>
    <xf numFmtId="49" fontId="1" fillId="0" borderId="6" xfId="0" applyNumberFormat="1" applyFont="1" applyBorder="1" applyAlignment="1"/>
    <xf numFmtId="1" fontId="0" fillId="0" borderId="1" xfId="0" applyNumberFormat="1" applyFont="1" applyBorder="1" applyAlignment="1"/>
    <xf numFmtId="165" fontId="3" fillId="0" borderId="1" xfId="0" applyNumberFormat="1" applyFont="1" applyBorder="1" applyAlignment="1"/>
    <xf numFmtId="49" fontId="1" fillId="0" borderId="23" xfId="0" applyNumberFormat="1" applyFont="1" applyBorder="1" applyAlignment="1"/>
    <xf numFmtId="166" fontId="1" fillId="0" borderId="3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3" fontId="0" fillId="0" borderId="1" xfId="0" applyNumberFormat="1" applyFont="1" applyBorder="1" applyAlignment="1"/>
    <xf numFmtId="49" fontId="6" fillId="0" borderId="7" xfId="0" applyNumberFormat="1" applyFont="1" applyBorder="1" applyAlignment="1"/>
    <xf numFmtId="0" fontId="6" fillId="0" borderId="7" xfId="0" applyFont="1" applyBorder="1" applyAlignment="1"/>
    <xf numFmtId="0" fontId="7" fillId="6" borderId="0" xfId="0" applyNumberFormat="1" applyFont="1" applyFill="1" applyAlignment="1"/>
    <xf numFmtId="0" fontId="0" fillId="0" borderId="31" xfId="0" applyFont="1" applyBorder="1" applyAlignment="1"/>
    <xf numFmtId="0" fontId="0" fillId="0" borderId="2" xfId="0" applyFont="1" applyBorder="1" applyAlignment="1"/>
    <xf numFmtId="1" fontId="1" fillId="0" borderId="8" xfId="0" applyNumberFormat="1" applyFont="1" applyBorder="1" applyAlignment="1"/>
    <xf numFmtId="1" fontId="3" fillId="0" borderId="8" xfId="0" applyNumberFormat="1" applyFont="1" applyBorder="1" applyAlignment="1"/>
    <xf numFmtId="0" fontId="11" fillId="0" borderId="1" xfId="0" applyFont="1" applyBorder="1" applyAlignment="1"/>
    <xf numFmtId="0" fontId="0" fillId="0" borderId="27" xfId="0" applyNumberFormat="1" applyFont="1" applyBorder="1" applyAlignment="1" applyProtection="1"/>
    <xf numFmtId="164" fontId="0" fillId="0" borderId="27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0" fillId="0" borderId="28" xfId="0" applyNumberFormat="1" applyFont="1" applyBorder="1" applyAlignment="1" applyProtection="1">
      <alignment horizontal="right"/>
    </xf>
    <xf numFmtId="0" fontId="0" fillId="2" borderId="30" xfId="0" applyNumberFormat="1" applyFont="1" applyFill="1" applyBorder="1" applyAlignment="1" applyProtection="1">
      <protection locked="0"/>
    </xf>
    <xf numFmtId="0" fontId="0" fillId="3" borderId="10" xfId="0" applyNumberFormat="1" applyFont="1" applyFill="1" applyBorder="1" applyAlignment="1" applyProtection="1">
      <protection locked="0"/>
    </xf>
    <xf numFmtId="0" fontId="0" fillId="3" borderId="13" xfId="0" applyNumberFormat="1" applyFont="1" applyFill="1" applyBorder="1" applyAlignment="1" applyProtection="1">
      <protection locked="0"/>
    </xf>
    <xf numFmtId="2" fontId="0" fillId="3" borderId="10" xfId="0" applyNumberFormat="1" applyFont="1" applyFill="1" applyBorder="1" applyAlignment="1" applyProtection="1">
      <protection locked="0"/>
    </xf>
    <xf numFmtId="0" fontId="0" fillId="3" borderId="17" xfId="0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protection locked="0"/>
    </xf>
    <xf numFmtId="0" fontId="0" fillId="2" borderId="32" xfId="0" applyNumberFormat="1" applyFont="1" applyFill="1" applyBorder="1" applyAlignment="1" applyProtection="1">
      <protection locked="0"/>
    </xf>
    <xf numFmtId="0" fontId="0" fillId="2" borderId="33" xfId="0" applyNumberFormat="1" applyFont="1" applyFill="1" applyBorder="1" applyAlignment="1" applyProtection="1">
      <protection locked="0"/>
    </xf>
    <xf numFmtId="0" fontId="0" fillId="0" borderId="10" xfId="0" applyNumberFormat="1" applyFont="1" applyBorder="1" applyAlignment="1"/>
    <xf numFmtId="0" fontId="0" fillId="2" borderId="10" xfId="0" applyNumberFormat="1" applyFont="1" applyFill="1" applyBorder="1" applyAlignment="1" applyProtection="1">
      <protection locked="0"/>
    </xf>
    <xf numFmtId="0" fontId="0" fillId="0" borderId="10" xfId="0" applyFont="1" applyBorder="1" applyAlignment="1"/>
    <xf numFmtId="0" fontId="0" fillId="5" borderId="10" xfId="0" applyFont="1" applyFill="1" applyBorder="1" applyAlignment="1">
      <alignment vertical="top"/>
    </xf>
    <xf numFmtId="167" fontId="0" fillId="0" borderId="10" xfId="0" applyNumberFormat="1" applyFont="1" applyBorder="1" applyAlignment="1" applyProtection="1">
      <protection locked="0"/>
    </xf>
    <xf numFmtId="167" fontId="0" fillId="6" borderId="10" xfId="0" applyNumberFormat="1" applyFont="1" applyFill="1" applyBorder="1" applyAlignment="1" applyProtection="1">
      <protection locked="0"/>
    </xf>
    <xf numFmtId="0" fontId="5" fillId="0" borderId="10" xfId="0" applyFont="1" applyBorder="1" applyAlignment="1"/>
    <xf numFmtId="0" fontId="7" fillId="6" borderId="10" xfId="0" applyNumberFormat="1" applyFont="1" applyFill="1" applyBorder="1" applyAlignment="1" applyProtection="1">
      <protection locked="0"/>
    </xf>
    <xf numFmtId="167" fontId="0" fillId="0" borderId="10" xfId="0" applyNumberFormat="1" applyFont="1" applyBorder="1" applyAlignment="1" applyProtection="1"/>
    <xf numFmtId="167" fontId="0" fillId="0" borderId="10" xfId="0" applyNumberFormat="1" applyFont="1" applyBorder="1" applyAlignment="1"/>
    <xf numFmtId="167" fontId="1" fillId="0" borderId="10" xfId="0" applyNumberFormat="1" applyFont="1" applyBorder="1" applyAlignment="1"/>
    <xf numFmtId="168" fontId="0" fillId="0" borderId="10" xfId="0" applyNumberFormat="1" applyFont="1" applyBorder="1" applyAlignment="1"/>
    <xf numFmtId="4" fontId="0" fillId="0" borderId="10" xfId="0" applyNumberFormat="1" applyFont="1" applyBorder="1" applyAlignment="1"/>
    <xf numFmtId="167" fontId="3" fillId="0" borderId="35" xfId="0" applyNumberFormat="1" applyFont="1" applyBorder="1" applyAlignment="1"/>
    <xf numFmtId="0" fontId="0" fillId="0" borderId="36" xfId="0" applyFont="1" applyBorder="1" applyAlignment="1"/>
    <xf numFmtId="49" fontId="0" fillId="0" borderId="39" xfId="0" applyNumberFormat="1" applyFont="1" applyBorder="1" applyAlignment="1"/>
    <xf numFmtId="0" fontId="0" fillId="0" borderId="40" xfId="0" applyNumberFormat="1" applyFont="1" applyBorder="1" applyAlignment="1"/>
    <xf numFmtId="0" fontId="0" fillId="0" borderId="39" xfId="0" applyNumberFormat="1" applyFont="1" applyBorder="1" applyAlignment="1"/>
    <xf numFmtId="0" fontId="0" fillId="0" borderId="41" xfId="0" applyFont="1" applyBorder="1" applyAlignment="1"/>
    <xf numFmtId="0" fontId="0" fillId="0" borderId="42" xfId="0" applyFont="1" applyBorder="1" applyAlignment="1"/>
    <xf numFmtId="0" fontId="0" fillId="0" borderId="43" xfId="0" applyFont="1" applyBorder="1" applyAlignment="1"/>
    <xf numFmtId="0" fontId="0" fillId="0" borderId="44" xfId="0" applyFont="1" applyBorder="1" applyAlignment="1"/>
    <xf numFmtId="0" fontId="0" fillId="0" borderId="45" xfId="0" applyFont="1" applyBorder="1" applyAlignment="1"/>
    <xf numFmtId="0" fontId="4" fillId="0" borderId="10" xfId="0" applyFont="1" applyBorder="1" applyAlignment="1"/>
    <xf numFmtId="49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167" fontId="0" fillId="0" borderId="40" xfId="0" applyNumberFormat="1" applyFont="1" applyBorder="1" applyAlignment="1" applyProtection="1">
      <protection locked="0"/>
    </xf>
    <xf numFmtId="167" fontId="0" fillId="0" borderId="40" xfId="0" applyNumberFormat="1" applyFont="1" applyBorder="1" applyAlignment="1"/>
    <xf numFmtId="49" fontId="1" fillId="0" borderId="39" xfId="0" applyNumberFormat="1" applyFont="1" applyBorder="1" applyAlignment="1"/>
    <xf numFmtId="167" fontId="1" fillId="0" borderId="40" xfId="0" applyNumberFormat="1" applyFont="1" applyBorder="1" applyAlignment="1"/>
    <xf numFmtId="0" fontId="0" fillId="0" borderId="39" xfId="0" applyFont="1" applyBorder="1" applyAlignment="1"/>
    <xf numFmtId="168" fontId="0" fillId="0" borderId="40" xfId="0" applyNumberFormat="1" applyFont="1" applyBorder="1" applyAlignment="1"/>
    <xf numFmtId="49" fontId="3" fillId="0" borderId="41" xfId="0" applyNumberFormat="1" applyFont="1" applyBorder="1" applyAlignment="1"/>
    <xf numFmtId="167" fontId="3" fillId="0" borderId="42" xfId="0" applyNumberFormat="1" applyFont="1" applyBorder="1" applyAlignment="1"/>
    <xf numFmtId="167" fontId="0" fillId="0" borderId="34" xfId="0" applyNumberFormat="1" applyFont="1" applyBorder="1" applyAlignment="1"/>
    <xf numFmtId="167" fontId="1" fillId="0" borderId="35" xfId="0" applyNumberFormat="1" applyFont="1" applyBorder="1" applyAlignment="1"/>
    <xf numFmtId="49" fontId="3" fillId="0" borderId="46" xfId="0" applyNumberFormat="1" applyFont="1" applyBorder="1" applyAlignment="1"/>
    <xf numFmtId="167" fontId="3" fillId="0" borderId="47" xfId="0" applyNumberFormat="1" applyFont="1" applyBorder="1" applyAlignment="1"/>
    <xf numFmtId="49" fontId="0" fillId="0" borderId="48" xfId="0" applyNumberFormat="1" applyFont="1" applyBorder="1" applyAlignment="1"/>
    <xf numFmtId="167" fontId="0" fillId="0" borderId="49" xfId="0" applyNumberFormat="1" applyFont="1" applyBorder="1" applyAlignment="1"/>
    <xf numFmtId="49" fontId="1" fillId="0" borderId="46" xfId="0" applyNumberFormat="1" applyFont="1" applyBorder="1" applyAlignment="1"/>
    <xf numFmtId="167" fontId="1" fillId="0" borderId="47" xfId="0" applyNumberFormat="1" applyFont="1" applyBorder="1" applyAlignment="1"/>
    <xf numFmtId="0" fontId="0" fillId="0" borderId="36" xfId="0" applyNumberFormat="1" applyFont="1" applyBorder="1" applyAlignment="1"/>
    <xf numFmtId="0" fontId="0" fillId="0" borderId="37" xfId="0" applyNumberFormat="1" applyFont="1" applyBorder="1" applyAlignment="1"/>
    <xf numFmtId="0" fontId="0" fillId="0" borderId="38" xfId="0" applyNumberFormat="1" applyFont="1" applyBorder="1" applyAlignment="1"/>
    <xf numFmtId="0" fontId="0" fillId="0" borderId="41" xfId="0" applyNumberFormat="1" applyFont="1" applyBorder="1" applyAlignment="1"/>
    <xf numFmtId="0" fontId="0" fillId="0" borderId="42" xfId="0" applyNumberFormat="1" applyFont="1" applyBorder="1" applyAlignment="1"/>
    <xf numFmtId="0" fontId="0" fillId="0" borderId="43" xfId="0" applyNumberFormat="1" applyFont="1" applyBorder="1" applyAlignment="1"/>
    <xf numFmtId="0" fontId="0" fillId="8" borderId="0" xfId="0" applyNumberFormat="1" applyFont="1" applyFill="1" applyAlignment="1"/>
    <xf numFmtId="0" fontId="0" fillId="7" borderId="10" xfId="0" applyNumberFormat="1" applyFont="1" applyFill="1" applyBorder="1" applyAlignment="1" applyProtection="1">
      <protection locked="0"/>
    </xf>
    <xf numFmtId="0" fontId="0" fillId="6" borderId="10" xfId="0" applyNumberFormat="1" applyFont="1" applyFill="1" applyBorder="1" applyAlignment="1" applyProtection="1">
      <protection locked="0"/>
    </xf>
    <xf numFmtId="49" fontId="2" fillId="0" borderId="10" xfId="0" applyNumberFormat="1" applyFont="1" applyBorder="1" applyAlignment="1"/>
    <xf numFmtId="49" fontId="5" fillId="2" borderId="10" xfId="0" applyNumberFormat="1" applyFont="1" applyFill="1" applyBorder="1" applyAlignment="1"/>
    <xf numFmtId="49" fontId="5" fillId="3" borderId="10" xfId="0" applyNumberFormat="1" applyFont="1" applyFill="1" applyBorder="1" applyAlignment="1"/>
    <xf numFmtId="49" fontId="1" fillId="8" borderId="39" xfId="0" applyNumberFormat="1" applyFont="1" applyFill="1" applyBorder="1" applyAlignment="1"/>
    <xf numFmtId="167" fontId="1" fillId="8" borderId="10" xfId="0" applyNumberFormat="1" applyFont="1" applyFill="1" applyBorder="1" applyAlignment="1"/>
    <xf numFmtId="167" fontId="1" fillId="8" borderId="40" xfId="0" applyNumberFormat="1" applyFont="1" applyFill="1" applyBorder="1" applyAlignment="1"/>
    <xf numFmtId="0" fontId="0" fillId="0" borderId="40" xfId="0" applyFont="1" applyBorder="1" applyAlignment="1"/>
    <xf numFmtId="49" fontId="7" fillId="0" borderId="39" xfId="0" applyNumberFormat="1" applyFont="1" applyBorder="1" applyAlignment="1"/>
    <xf numFmtId="0" fontId="7" fillId="0" borderId="10" xfId="0" applyFont="1" applyBorder="1" applyAlignment="1"/>
    <xf numFmtId="49" fontId="0" fillId="6" borderId="10" xfId="0" applyNumberFormat="1" applyFont="1" applyFill="1" applyBorder="1" applyAlignment="1" applyProtection="1">
      <protection locked="0"/>
    </xf>
    <xf numFmtId="0" fontId="7" fillId="0" borderId="10" xfId="0" applyNumberFormat="1" applyFont="1" applyBorder="1" applyAlignment="1"/>
    <xf numFmtId="49" fontId="12" fillId="2" borderId="10" xfId="0" applyNumberFormat="1" applyFont="1" applyFill="1" applyBorder="1" applyAlignment="1"/>
    <xf numFmtId="0" fontId="13" fillId="0" borderId="10" xfId="1" applyBorder="1" applyAlignment="1"/>
    <xf numFmtId="0" fontId="6" fillId="0" borderId="10" xfId="0" applyFont="1" applyBorder="1" applyAlignment="1"/>
    <xf numFmtId="169" fontId="6" fillId="0" borderId="10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  <rgbColor rgb="FFD8D8D8"/>
      <rgbColor rgb="FF595959"/>
      <rgbColor rgb="FF878787"/>
      <rgbColor rgb="FFAAAAAA"/>
      <rgbColor rgb="FF70AD47"/>
      <rgbColor rgb="FFFFC000"/>
      <rgbColor rgb="FFB4C6E7"/>
      <rgbColor rgb="FFBFBFB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1" i="0" u="none" strike="noStrike">
                <a:solidFill>
                  <a:srgbClr val="595959"/>
                </a:solidFill>
                <a:latin typeface="Calibri"/>
              </a:defRPr>
            </a:pPr>
            <a:r>
              <a:rPr lang="da-DK" sz="1400" b="1" i="0" u="none" strike="noStrike">
                <a:solidFill>
                  <a:srgbClr val="595959"/>
                </a:solidFill>
                <a:latin typeface="Calibri"/>
              </a:rPr>
              <a:t>Omkostning over tid</a:t>
            </a:r>
          </a:p>
        </c:rich>
      </c:tx>
      <c:layout>
        <c:manualLayout>
          <c:xMode val="edge"/>
          <c:yMode val="edge"/>
          <c:x val="0.369284"/>
          <c:y val="0"/>
          <c:w val="0.26143100000000002"/>
          <c:h val="0.108408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9425627241791496"/>
          <c:y val="0.108408"/>
          <c:w val="0.76385274126228841"/>
          <c:h val="0.64236800000000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'Grafik data'!$E$6</c:f>
              <c:strCache>
                <c:ptCount val="1"/>
                <c:pt idx="0">
                  <c:v>Varmepumpe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data'!$E$7:$E$45</c:f>
              <c:numCache>
                <c:formatCode>0</c:formatCode>
                <c:ptCount val="39"/>
                <c:pt idx="0">
                  <c:v>129031.19230769231</c:v>
                </c:pt>
                <c:pt idx="1">
                  <c:v>146595.71794871794</c:v>
                </c:pt>
                <c:pt idx="2">
                  <c:v>164160.24358974356</c:v>
                </c:pt>
                <c:pt idx="3">
                  <c:v>181724.76923076919</c:v>
                </c:pt>
                <c:pt idx="4">
                  <c:v>199289.29487179482</c:v>
                </c:pt>
                <c:pt idx="5">
                  <c:v>216853.82051282044</c:v>
                </c:pt>
                <c:pt idx="6">
                  <c:v>234418.34615384607</c:v>
                </c:pt>
                <c:pt idx="7">
                  <c:v>251982.87179487169</c:v>
                </c:pt>
                <c:pt idx="8">
                  <c:v>269547.39743589732</c:v>
                </c:pt>
                <c:pt idx="9">
                  <c:v>287111.92307692295</c:v>
                </c:pt>
                <c:pt idx="10">
                  <c:v>304676.44871794857</c:v>
                </c:pt>
                <c:pt idx="11">
                  <c:v>322240.9743589742</c:v>
                </c:pt>
                <c:pt idx="12">
                  <c:v>339805.49999999983</c:v>
                </c:pt>
                <c:pt idx="13">
                  <c:v>357370.02564102545</c:v>
                </c:pt>
                <c:pt idx="14">
                  <c:v>374934.55128205108</c:v>
                </c:pt>
                <c:pt idx="15">
                  <c:v>392499.0769230767</c:v>
                </c:pt>
                <c:pt idx="16">
                  <c:v>410063.60256410233</c:v>
                </c:pt>
                <c:pt idx="17">
                  <c:v>427628.12820512796</c:v>
                </c:pt>
                <c:pt idx="18">
                  <c:v>445192.65384615358</c:v>
                </c:pt>
                <c:pt idx="19">
                  <c:v>462757.17948717921</c:v>
                </c:pt>
                <c:pt idx="20">
                  <c:v>480321.70512820483</c:v>
                </c:pt>
                <c:pt idx="21">
                  <c:v>497886.23076923046</c:v>
                </c:pt>
                <c:pt idx="22">
                  <c:v>515450.75641025609</c:v>
                </c:pt>
                <c:pt idx="23">
                  <c:v>533015.28205128177</c:v>
                </c:pt>
                <c:pt idx="24">
                  <c:v>550579.8076923074</c:v>
                </c:pt>
                <c:pt idx="25">
                  <c:v>568144.33333333302</c:v>
                </c:pt>
                <c:pt idx="26">
                  <c:v>585708.85897435865</c:v>
                </c:pt>
                <c:pt idx="27">
                  <c:v>603273.38461538428</c:v>
                </c:pt>
                <c:pt idx="28">
                  <c:v>620837.9102564099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4-492F-9077-F36B7B5F25C8}"/>
            </c:ext>
          </c:extLst>
        </c:ser>
        <c:ser>
          <c:idx val="1"/>
          <c:order val="1"/>
          <c:tx>
            <c:strRef>
              <c:f>'Grafik data'!$F$6</c:f>
              <c:strCache>
                <c:ptCount val="1"/>
                <c:pt idx="0">
                  <c:v>Fjernvarme+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data'!$F$7:$F$45</c:f>
              <c:numCache>
                <c:formatCode>0</c:formatCode>
                <c:ptCount val="39"/>
                <c:pt idx="0">
                  <c:v>63877.55</c:v>
                </c:pt>
                <c:pt idx="1">
                  <c:v>80755.100000000006</c:v>
                </c:pt>
                <c:pt idx="2">
                  <c:v>97632.650000000009</c:v>
                </c:pt>
                <c:pt idx="3">
                  <c:v>114510.20000000001</c:v>
                </c:pt>
                <c:pt idx="4">
                  <c:v>131387.75</c:v>
                </c:pt>
                <c:pt idx="5">
                  <c:v>148265.29999999999</c:v>
                </c:pt>
                <c:pt idx="6">
                  <c:v>165142.84999999998</c:v>
                </c:pt>
                <c:pt idx="7">
                  <c:v>182020.39999999997</c:v>
                </c:pt>
                <c:pt idx="8">
                  <c:v>198897.94999999995</c:v>
                </c:pt>
                <c:pt idx="9">
                  <c:v>215775.49999999994</c:v>
                </c:pt>
                <c:pt idx="10">
                  <c:v>232653.04999999993</c:v>
                </c:pt>
                <c:pt idx="11">
                  <c:v>249530.59999999992</c:v>
                </c:pt>
                <c:pt idx="12">
                  <c:v>266408.14999999991</c:v>
                </c:pt>
                <c:pt idx="13">
                  <c:v>283285.6999999999</c:v>
                </c:pt>
                <c:pt idx="14">
                  <c:v>300163.24999999988</c:v>
                </c:pt>
                <c:pt idx="15">
                  <c:v>317040.79999999987</c:v>
                </c:pt>
                <c:pt idx="16">
                  <c:v>333918.34999999986</c:v>
                </c:pt>
                <c:pt idx="17">
                  <c:v>350795.89999999985</c:v>
                </c:pt>
                <c:pt idx="18">
                  <c:v>367673.44999999984</c:v>
                </c:pt>
                <c:pt idx="19">
                  <c:v>384550.99999999983</c:v>
                </c:pt>
                <c:pt idx="20">
                  <c:v>401428.54999999981</c:v>
                </c:pt>
                <c:pt idx="21">
                  <c:v>418306.0999999998</c:v>
                </c:pt>
                <c:pt idx="22">
                  <c:v>435183.64999999979</c:v>
                </c:pt>
                <c:pt idx="23">
                  <c:v>452061.19999999978</c:v>
                </c:pt>
                <c:pt idx="24">
                  <c:v>468938.74999999977</c:v>
                </c:pt>
                <c:pt idx="25">
                  <c:v>485816.29999999976</c:v>
                </c:pt>
                <c:pt idx="26">
                  <c:v>502693.84999999974</c:v>
                </c:pt>
                <c:pt idx="27">
                  <c:v>519571.39999999973</c:v>
                </c:pt>
                <c:pt idx="28">
                  <c:v>536448.94999999972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24-492F-9077-F36B7B5F25C8}"/>
            </c:ext>
          </c:extLst>
        </c:ser>
        <c:ser>
          <c:idx val="2"/>
          <c:order val="2"/>
          <c:tx>
            <c:strRef>
              <c:f>'Grafik data'!$G$6</c:f>
              <c:strCache>
                <c:ptCount val="1"/>
                <c:pt idx="0">
                  <c:v>Gas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data'!$G$7:$G$45</c:f>
              <c:numCache>
                <c:formatCode>0</c:formatCode>
                <c:ptCount val="39"/>
                <c:pt idx="0">
                  <c:v>39150</c:v>
                </c:pt>
                <c:pt idx="1">
                  <c:v>80300</c:v>
                </c:pt>
                <c:pt idx="2">
                  <c:v>121450</c:v>
                </c:pt>
                <c:pt idx="3">
                  <c:v>162600</c:v>
                </c:pt>
                <c:pt idx="4">
                  <c:v>203750</c:v>
                </c:pt>
                <c:pt idx="5">
                  <c:v>244900</c:v>
                </c:pt>
                <c:pt idx="6">
                  <c:v>286050</c:v>
                </c:pt>
                <c:pt idx="7">
                  <c:v>327200</c:v>
                </c:pt>
                <c:pt idx="8">
                  <c:v>368350</c:v>
                </c:pt>
                <c:pt idx="9">
                  <c:v>409500</c:v>
                </c:pt>
                <c:pt idx="10">
                  <c:v>450650</c:v>
                </c:pt>
                <c:pt idx="11">
                  <c:v>491800</c:v>
                </c:pt>
                <c:pt idx="12">
                  <c:v>532950</c:v>
                </c:pt>
                <c:pt idx="13">
                  <c:v>574100</c:v>
                </c:pt>
                <c:pt idx="14">
                  <c:v>615250</c:v>
                </c:pt>
                <c:pt idx="15">
                  <c:v>656400</c:v>
                </c:pt>
                <c:pt idx="16">
                  <c:v>697550</c:v>
                </c:pt>
                <c:pt idx="17">
                  <c:v>738700</c:v>
                </c:pt>
                <c:pt idx="18">
                  <c:v>779850</c:v>
                </c:pt>
                <c:pt idx="19">
                  <c:v>821000</c:v>
                </c:pt>
                <c:pt idx="20">
                  <c:v>862150</c:v>
                </c:pt>
                <c:pt idx="21">
                  <c:v>903300</c:v>
                </c:pt>
                <c:pt idx="22">
                  <c:v>944450</c:v>
                </c:pt>
                <c:pt idx="23">
                  <c:v>985600</c:v>
                </c:pt>
                <c:pt idx="24">
                  <c:v>1026750</c:v>
                </c:pt>
                <c:pt idx="25">
                  <c:v>1067900</c:v>
                </c:pt>
                <c:pt idx="26">
                  <c:v>1109050</c:v>
                </c:pt>
                <c:pt idx="27">
                  <c:v>1150200</c:v>
                </c:pt>
                <c:pt idx="28">
                  <c:v>1191350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24-492F-9077-F36B7B5F25C8}"/>
            </c:ext>
          </c:extLst>
        </c:ser>
        <c:ser>
          <c:idx val="3"/>
          <c:order val="3"/>
          <c:tx>
            <c:strRef>
              <c:f>'Grafik data'!$H$6</c:f>
              <c:strCache>
                <c:ptCount val="1"/>
                <c:pt idx="0">
                  <c:v>Pillefyr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data'!$H$7:$H$45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24-492F-9077-F36B7B5F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050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da-DK" sz="1200" b="1" i="0" u="none" strike="noStrike">
                    <a:solidFill>
                      <a:srgbClr val="595959"/>
                    </a:solidFill>
                    <a:latin typeface="Calibri"/>
                  </a:rPr>
                  <a:t>Årstal</a:t>
                </a:r>
              </a:p>
            </c:rich>
          </c:tx>
          <c:layout>
            <c:manualLayout>
              <c:xMode val="edge"/>
              <c:yMode val="edge"/>
              <c:x val="0.50179746538809511"/>
              <c:y val="0.82202420374495755"/>
            </c:manualLayout>
          </c:layout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da-DK"/>
          </a:p>
        </c:txPr>
        <c:crossAx val="2094734553"/>
        <c:crosses val="autoZero"/>
        <c:crossBetween val="between"/>
        <c:majorUnit val="5"/>
        <c:minorUnit val="5"/>
      </c:valAx>
      <c:valAx>
        <c:axId val="2094734553"/>
        <c:scaling>
          <c:orientation val="minMax"/>
          <c:max val="800000"/>
          <c:min val="0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1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da-DK" sz="1100" b="1" i="0" u="none" strike="noStrike">
                    <a:solidFill>
                      <a:srgbClr val="595959"/>
                    </a:solidFill>
                    <a:latin typeface="Calibri"/>
                  </a:rPr>
                  <a:t>DKK</a:t>
                </a:r>
              </a:p>
            </c:rich>
          </c:tx>
          <c:layout>
            <c:manualLayout>
              <c:xMode val="edge"/>
              <c:yMode val="edge"/>
              <c:x val="0"/>
              <c:y val="0.45321824450195142"/>
            </c:manualLayout>
          </c:layout>
          <c:overlay val="1"/>
        </c:title>
        <c:numFmt formatCode="#,###,##0\ &quot;kr.&quot;" sourceLinked="0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100" b="0" i="0" u="none" strike="noStrike">
                <a:solidFill>
                  <a:srgbClr val="595959"/>
                </a:solidFill>
                <a:latin typeface="Calibri"/>
              </a:defRPr>
            </a:pPr>
            <a:endParaRPr lang="da-DK"/>
          </a:p>
        </c:txPr>
        <c:crossAx val="2094734552"/>
        <c:crosses val="autoZero"/>
        <c:crossBetween val="between"/>
        <c:majorUnit val="200000"/>
        <c:minorUnit val="1125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7.8665818947344313E-2"/>
          <c:y val="0.90387440035470334"/>
          <c:w val="0.84830218046571004"/>
          <c:h val="5.8021499999999997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400" b="0" i="0" u="none" strike="noStrike">
              <a:solidFill>
                <a:srgbClr val="595959"/>
              </a:solidFill>
              <a:latin typeface="Calibri"/>
            </a:defRPr>
          </a:pPr>
          <a:endParaRPr lang="da-DK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noFill/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1" i="0" u="none" strike="noStrike">
                <a:solidFill>
                  <a:srgbClr val="595959"/>
                </a:solidFill>
                <a:latin typeface="Calibri"/>
              </a:defRPr>
            </a:pPr>
            <a:r>
              <a:rPr lang="da-DK" sz="1400" b="1" i="0" u="none" strike="noStrike">
                <a:solidFill>
                  <a:srgbClr val="595959"/>
                </a:solidFill>
                <a:latin typeface="Calibri"/>
              </a:rPr>
              <a:t>Gennemsnitlig årlig omkostning</a:t>
            </a:r>
          </a:p>
        </c:rich>
      </c:tx>
      <c:layout>
        <c:manualLayout>
          <c:xMode val="edge"/>
          <c:yMode val="edge"/>
          <c:x val="0.22783777725515558"/>
          <c:y val="0"/>
          <c:w val="0.36798399999999998"/>
          <c:h val="0.11510099999999999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3068125027560154"/>
          <c:y val="0.11510107323836349"/>
          <c:w val="0.65097564528292151"/>
          <c:h val="0.8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data'!$K$29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  <a:miter lim="800000"/>
              </a:ln>
              <a:effectLst>
                <a:outerShdw blurRad="12700" dist="25400" dir="7320000" algn="tl">
                  <a:srgbClr val="000000">
                    <a:alpha val="25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data'!$L$29</c:f>
              <c:numCache>
                <c:formatCode>0</c:formatCode>
                <c:ptCount val="1"/>
                <c:pt idx="0">
                  <c:v>17564.525641025641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6-4A0F-8FC7-4F0C3F8FDB8D}"/>
            </c:ext>
          </c:extLst>
        </c:ser>
        <c:ser>
          <c:idx val="1"/>
          <c:order val="1"/>
          <c:tx>
            <c:strRef>
              <c:f>'Grafik data'!$K$30</c:f>
              <c:strCache>
                <c:ptCount val="1"/>
                <c:pt idx="0">
                  <c:v>Fjernvarme +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data'!$L$30</c:f>
              <c:numCache>
                <c:formatCode>0</c:formatCode>
                <c:ptCount val="1"/>
                <c:pt idx="0">
                  <c:v>16877.55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A0F-8FC7-4F0C3F8FDB8D}"/>
            </c:ext>
          </c:extLst>
        </c:ser>
        <c:ser>
          <c:idx val="2"/>
          <c:order val="2"/>
          <c:tx>
            <c:strRef>
              <c:f>'Grafik data'!$K$31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data'!$L$31</c:f>
              <c:numCache>
                <c:formatCode>0</c:formatCode>
                <c:ptCount val="1"/>
                <c:pt idx="0">
                  <c:v>41150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A0F-8FC7-4F0C3F8FDB8D}"/>
            </c:ext>
          </c:extLst>
        </c:ser>
        <c:ser>
          <c:idx val="3"/>
          <c:order val="3"/>
          <c:tx>
            <c:strRef>
              <c:f>'Grafik data'!$K$32</c:f>
              <c:strCache>
                <c:ptCount val="1"/>
                <c:pt idx="0">
                  <c:v>Pillefyr</c:v>
                </c:pt>
              </c:strCache>
            </c:strRef>
          </c:tx>
          <c:spPr>
            <a:solidFill>
              <a:schemeClr val="accent4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6-4A0F-8FC7-4F0C3F8F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</a:defRPr>
            </a:pPr>
            <a:endParaRPr lang="da-DK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100" b="1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da-DK" sz="1100" b="1" i="0" u="none" strike="noStrike">
                    <a:solidFill>
                      <a:srgbClr val="595959"/>
                    </a:solidFill>
                    <a:latin typeface="Calibri"/>
                  </a:rPr>
                  <a:t>Årlig omkostning total (DKK)</a:t>
                </a:r>
              </a:p>
            </c:rich>
          </c:tx>
          <c:overlay val="1"/>
        </c:title>
        <c:numFmt formatCode="0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sz="1100" b="0" i="0" u="none" strike="noStrike">
                <a:solidFill>
                  <a:srgbClr val="595959"/>
                </a:solidFill>
                <a:latin typeface="Calibri"/>
              </a:defRPr>
            </a:pPr>
            <a:endParaRPr lang="da-DK"/>
          </a:p>
        </c:txPr>
        <c:crossAx val="2094734552"/>
        <c:crosses val="autoZero"/>
        <c:crossBetween val="between"/>
        <c:majorUnit val="7500"/>
        <c:minorUnit val="3750"/>
      </c:valAx>
      <c:spPr>
        <a:noFill/>
        <a:ln w="12700" cap="flat">
          <a:noFill/>
          <a:miter lim="400000"/>
        </a:ln>
        <a:effectLst/>
      </c:spPr>
    </c:plotArea>
    <c:legend>
      <c:legendPos val="r"/>
      <c:legendEntry>
        <c:idx val="4"/>
        <c:delete val="1"/>
      </c:legendEntry>
      <c:overlay val="0"/>
      <c:txPr>
        <a:bodyPr/>
        <a:lstStyle/>
        <a:p>
          <a:pPr>
            <a:defRPr sz="1200">
              <a:latin typeface="Calibri" panose="020F0502020204030204" pitchFamily="34" charset="0"/>
              <a:cs typeface="Calibri" panose="020F0502020204030204" pitchFamily="34" charset="0"/>
            </a:defRPr>
          </a:pPr>
          <a:endParaRPr lang="da-DK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noFill/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da-DK" sz="1400" b="0" i="0" u="none" strike="noStrike">
                <a:solidFill>
                  <a:srgbClr val="595959"/>
                </a:solidFill>
                <a:latin typeface="Calibri"/>
              </a:rPr>
              <a:t>Chart Title</a:t>
            </a:r>
          </a:p>
        </c:rich>
      </c:tx>
      <c:layout>
        <c:manualLayout>
          <c:xMode val="edge"/>
          <c:yMode val="edge"/>
          <c:x val="0.422819"/>
          <c:y val="0"/>
          <c:w val="0.154362"/>
          <c:h val="7.3942599999999997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0105"/>
          <c:y val="7.3942599999999997E-2"/>
          <c:w val="0.87478800000000001"/>
          <c:h val="0.82511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'Grafik data'!$E$6</c:f>
              <c:strCache>
                <c:ptCount val="1"/>
                <c:pt idx="0">
                  <c:v>Varmepumpe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data'!$E$7:$E$45</c:f>
              <c:numCache>
                <c:formatCode>0</c:formatCode>
                <c:ptCount val="39"/>
                <c:pt idx="0">
                  <c:v>129031.19230769231</c:v>
                </c:pt>
                <c:pt idx="1">
                  <c:v>146595.71794871794</c:v>
                </c:pt>
                <c:pt idx="2">
                  <c:v>164160.24358974356</c:v>
                </c:pt>
                <c:pt idx="3">
                  <c:v>181724.76923076919</c:v>
                </c:pt>
                <c:pt idx="4">
                  <c:v>199289.29487179482</c:v>
                </c:pt>
                <c:pt idx="5">
                  <c:v>216853.82051282044</c:v>
                </c:pt>
                <c:pt idx="6">
                  <c:v>234418.34615384607</c:v>
                </c:pt>
                <c:pt idx="7">
                  <c:v>251982.87179487169</c:v>
                </c:pt>
                <c:pt idx="8">
                  <c:v>269547.39743589732</c:v>
                </c:pt>
                <c:pt idx="9">
                  <c:v>287111.92307692295</c:v>
                </c:pt>
                <c:pt idx="10">
                  <c:v>304676.44871794857</c:v>
                </c:pt>
                <c:pt idx="11">
                  <c:v>322240.9743589742</c:v>
                </c:pt>
                <c:pt idx="12">
                  <c:v>339805.49999999983</c:v>
                </c:pt>
                <c:pt idx="13">
                  <c:v>357370.02564102545</c:v>
                </c:pt>
                <c:pt idx="14">
                  <c:v>374934.55128205108</c:v>
                </c:pt>
                <c:pt idx="15">
                  <c:v>392499.0769230767</c:v>
                </c:pt>
                <c:pt idx="16">
                  <c:v>410063.60256410233</c:v>
                </c:pt>
                <c:pt idx="17">
                  <c:v>427628.12820512796</c:v>
                </c:pt>
                <c:pt idx="18">
                  <c:v>445192.65384615358</c:v>
                </c:pt>
                <c:pt idx="19">
                  <c:v>462757.17948717921</c:v>
                </c:pt>
                <c:pt idx="20">
                  <c:v>480321.70512820483</c:v>
                </c:pt>
                <c:pt idx="21">
                  <c:v>497886.23076923046</c:v>
                </c:pt>
                <c:pt idx="22">
                  <c:v>515450.75641025609</c:v>
                </c:pt>
                <c:pt idx="23">
                  <c:v>533015.28205128177</c:v>
                </c:pt>
                <c:pt idx="24">
                  <c:v>550579.8076923074</c:v>
                </c:pt>
                <c:pt idx="25">
                  <c:v>568144.33333333302</c:v>
                </c:pt>
                <c:pt idx="26">
                  <c:v>585708.85897435865</c:v>
                </c:pt>
                <c:pt idx="27">
                  <c:v>603273.38461538428</c:v>
                </c:pt>
                <c:pt idx="28">
                  <c:v>620837.9102564099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5-4FF5-99ED-69A44FF128DE}"/>
            </c:ext>
          </c:extLst>
        </c:ser>
        <c:ser>
          <c:idx val="1"/>
          <c:order val="1"/>
          <c:tx>
            <c:strRef>
              <c:f>'Grafik data'!$F$6</c:f>
              <c:strCache>
                <c:ptCount val="1"/>
                <c:pt idx="0">
                  <c:v>Fjernvarme+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data'!$F$7:$F$45</c:f>
              <c:numCache>
                <c:formatCode>0</c:formatCode>
                <c:ptCount val="39"/>
                <c:pt idx="0">
                  <c:v>63877.55</c:v>
                </c:pt>
                <c:pt idx="1">
                  <c:v>80755.100000000006</c:v>
                </c:pt>
                <c:pt idx="2">
                  <c:v>97632.650000000009</c:v>
                </c:pt>
                <c:pt idx="3">
                  <c:v>114510.20000000001</c:v>
                </c:pt>
                <c:pt idx="4">
                  <c:v>131387.75</c:v>
                </c:pt>
                <c:pt idx="5">
                  <c:v>148265.29999999999</c:v>
                </c:pt>
                <c:pt idx="6">
                  <c:v>165142.84999999998</c:v>
                </c:pt>
                <c:pt idx="7">
                  <c:v>182020.39999999997</c:v>
                </c:pt>
                <c:pt idx="8">
                  <c:v>198897.94999999995</c:v>
                </c:pt>
                <c:pt idx="9">
                  <c:v>215775.49999999994</c:v>
                </c:pt>
                <c:pt idx="10">
                  <c:v>232653.04999999993</c:v>
                </c:pt>
                <c:pt idx="11">
                  <c:v>249530.59999999992</c:v>
                </c:pt>
                <c:pt idx="12">
                  <c:v>266408.14999999991</c:v>
                </c:pt>
                <c:pt idx="13">
                  <c:v>283285.6999999999</c:v>
                </c:pt>
                <c:pt idx="14">
                  <c:v>300163.24999999988</c:v>
                </c:pt>
                <c:pt idx="15">
                  <c:v>317040.79999999987</c:v>
                </c:pt>
                <c:pt idx="16">
                  <c:v>333918.34999999986</c:v>
                </c:pt>
                <c:pt idx="17">
                  <c:v>350795.89999999985</c:v>
                </c:pt>
                <c:pt idx="18">
                  <c:v>367673.44999999984</c:v>
                </c:pt>
                <c:pt idx="19">
                  <c:v>384550.99999999983</c:v>
                </c:pt>
                <c:pt idx="20">
                  <c:v>401428.54999999981</c:v>
                </c:pt>
                <c:pt idx="21">
                  <c:v>418306.0999999998</c:v>
                </c:pt>
                <c:pt idx="22">
                  <c:v>435183.64999999979</c:v>
                </c:pt>
                <c:pt idx="23">
                  <c:v>452061.19999999978</c:v>
                </c:pt>
                <c:pt idx="24">
                  <c:v>468938.74999999977</c:v>
                </c:pt>
                <c:pt idx="25">
                  <c:v>485816.29999999976</c:v>
                </c:pt>
                <c:pt idx="26">
                  <c:v>502693.84999999974</c:v>
                </c:pt>
                <c:pt idx="27">
                  <c:v>519571.39999999973</c:v>
                </c:pt>
                <c:pt idx="28">
                  <c:v>536448.94999999972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B5-4FF5-99ED-69A44FF128DE}"/>
            </c:ext>
          </c:extLst>
        </c:ser>
        <c:ser>
          <c:idx val="2"/>
          <c:order val="2"/>
          <c:tx>
            <c:strRef>
              <c:f>'Grafik data'!$G$6</c:f>
              <c:strCache>
                <c:ptCount val="1"/>
                <c:pt idx="0">
                  <c:v>Gas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data'!$G$7:$G$45</c:f>
              <c:numCache>
                <c:formatCode>0</c:formatCode>
                <c:ptCount val="39"/>
                <c:pt idx="0">
                  <c:v>39150</c:v>
                </c:pt>
                <c:pt idx="1">
                  <c:v>80300</c:v>
                </c:pt>
                <c:pt idx="2">
                  <c:v>121450</c:v>
                </c:pt>
                <c:pt idx="3">
                  <c:v>162600</c:v>
                </c:pt>
                <c:pt idx="4">
                  <c:v>203750</c:v>
                </c:pt>
                <c:pt idx="5">
                  <c:v>244900</c:v>
                </c:pt>
                <c:pt idx="6">
                  <c:v>286050</c:v>
                </c:pt>
                <c:pt idx="7">
                  <c:v>327200</c:v>
                </c:pt>
                <c:pt idx="8">
                  <c:v>368350</c:v>
                </c:pt>
                <c:pt idx="9">
                  <c:v>409500</c:v>
                </c:pt>
                <c:pt idx="10">
                  <c:v>450650</c:v>
                </c:pt>
                <c:pt idx="11">
                  <c:v>491800</c:v>
                </c:pt>
                <c:pt idx="12">
                  <c:v>532950</c:v>
                </c:pt>
                <c:pt idx="13">
                  <c:v>574100</c:v>
                </c:pt>
                <c:pt idx="14">
                  <c:v>615250</c:v>
                </c:pt>
                <c:pt idx="15">
                  <c:v>656400</c:v>
                </c:pt>
                <c:pt idx="16">
                  <c:v>697550</c:v>
                </c:pt>
                <c:pt idx="17">
                  <c:v>738700</c:v>
                </c:pt>
                <c:pt idx="18">
                  <c:v>779850</c:v>
                </c:pt>
                <c:pt idx="19">
                  <c:v>821000</c:v>
                </c:pt>
                <c:pt idx="20">
                  <c:v>862150</c:v>
                </c:pt>
                <c:pt idx="21">
                  <c:v>903300</c:v>
                </c:pt>
                <c:pt idx="22">
                  <c:v>944450</c:v>
                </c:pt>
                <c:pt idx="23">
                  <c:v>985600</c:v>
                </c:pt>
                <c:pt idx="24">
                  <c:v>1026750</c:v>
                </c:pt>
                <c:pt idx="25">
                  <c:v>1067900</c:v>
                </c:pt>
                <c:pt idx="26">
                  <c:v>1109050</c:v>
                </c:pt>
                <c:pt idx="27">
                  <c:v>1150200</c:v>
                </c:pt>
                <c:pt idx="28">
                  <c:v>1191350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B5-4FF5-99ED-69A44FF128DE}"/>
            </c:ext>
          </c:extLst>
        </c:ser>
        <c:ser>
          <c:idx val="3"/>
          <c:order val="3"/>
          <c:tx>
            <c:strRef>
              <c:f>'Grafik data'!$H$6</c:f>
              <c:strCache>
                <c:ptCount val="1"/>
                <c:pt idx="0">
                  <c:v>Pillefyr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'Grafik data'!$D$7:$D$45</c:f>
              <c:numCache>
                <c:formatCode>General</c:formatCode>
                <c:ptCount val="3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'Grafik data'!$H$7:$H$45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B5-4FF5-99ED-69A44FF1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da-DK"/>
          </a:p>
        </c:txPr>
        <c:crossAx val="2094734553"/>
        <c:crosses val="autoZero"/>
        <c:crossBetween val="between"/>
        <c:majorUnit val="10"/>
        <c:minorUnit val="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da-DK"/>
          </a:p>
        </c:txPr>
        <c:crossAx val="2094734552"/>
        <c:crosses val="autoZero"/>
        <c:crossBetween val="between"/>
        <c:majorUnit val="225000"/>
        <c:minorUnit val="1125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5195"/>
          <c:y val="0.95964099999999997"/>
          <c:w val="0.70533100000000004"/>
          <c:h val="4.035899999999999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da-DK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da-DK" sz="1400" b="0" i="0" u="none" strike="noStrike">
                <a:solidFill>
                  <a:srgbClr val="595959"/>
                </a:solidFill>
                <a:latin typeface="Calibri"/>
              </a:rPr>
              <a:t>Årlig omkostning</a:t>
            </a:r>
          </a:p>
        </c:rich>
      </c:tx>
      <c:layout>
        <c:manualLayout>
          <c:xMode val="edge"/>
          <c:yMode val="edge"/>
          <c:x val="0.294487"/>
          <c:y val="0"/>
          <c:w val="0.21937799999999999"/>
          <c:h val="8.55284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06839"/>
          <c:y val="8.5528400000000004E-2"/>
          <c:w val="0.70151300000000005"/>
          <c:h val="0.84403899999999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data'!$K$29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  <a:miter lim="800000"/>
              </a:ln>
              <a:effectLst>
                <a:outerShdw blurRad="12700" dist="25400" dir="7320000" algn="tl">
                  <a:srgbClr val="000000">
                    <a:alpha val="25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data'!$L$29</c:f>
              <c:numCache>
                <c:formatCode>0</c:formatCode>
                <c:ptCount val="1"/>
                <c:pt idx="0">
                  <c:v>17564.525641025641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C-4B65-92E9-5A25A6FF98CC}"/>
            </c:ext>
          </c:extLst>
        </c:ser>
        <c:ser>
          <c:idx val="1"/>
          <c:order val="1"/>
          <c:tx>
            <c:strRef>
              <c:f>'Grafik data'!$K$30</c:f>
              <c:strCache>
                <c:ptCount val="1"/>
                <c:pt idx="0">
                  <c:v>Fjernvarme +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data'!$L$30</c:f>
              <c:numCache>
                <c:formatCode>0</c:formatCode>
                <c:ptCount val="1"/>
                <c:pt idx="0">
                  <c:v>16877.55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C-4B65-92E9-5A25A6FF98CC}"/>
            </c:ext>
          </c:extLst>
        </c:ser>
        <c:ser>
          <c:idx val="2"/>
          <c:order val="2"/>
          <c:tx>
            <c:strRef>
              <c:f>'Grafik data'!$K$31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data'!$L$31</c:f>
              <c:numCache>
                <c:formatCode>0</c:formatCode>
                <c:ptCount val="1"/>
                <c:pt idx="0">
                  <c:v>41150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C-4B65-92E9-5A25A6FF98CC}"/>
            </c:ext>
          </c:extLst>
        </c:ser>
        <c:ser>
          <c:idx val="3"/>
          <c:order val="3"/>
          <c:tx>
            <c:strRef>
              <c:f>'Grafik data'!$K$32</c:f>
              <c:strCache>
                <c:ptCount val="1"/>
                <c:pt idx="0">
                  <c:v>Pillefyr</c:v>
                </c:pt>
              </c:strCache>
            </c:strRef>
          </c:tx>
          <c:spPr>
            <a:solidFill>
              <a:schemeClr val="accent4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data'!$J$29</c:f>
              <c:numCache>
                <c:formatCode>General</c:formatCode>
                <c:ptCount val="1"/>
              </c:numCache>
            </c:numRef>
          </c:cat>
          <c:val>
            <c:numRef>
              <c:f>'Grafik data'!$L$32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BC-4B65-92E9-5A25A6FF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da-DK" sz="900" b="0" i="0" u="none" strike="noStrike">
                    <a:solidFill>
                      <a:srgbClr val="595959"/>
                    </a:solidFill>
                    <a:latin typeface="Calibri"/>
                  </a:rPr>
                  <a:t>Varmetyper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one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</a:defRPr>
            </a:pPr>
            <a:endParaRPr lang="da-DK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lang="da-DK" sz="900" b="0" i="0" u="none" strike="noStrike">
                    <a:solidFill>
                      <a:srgbClr val="595959"/>
                    </a:solidFill>
                    <a:latin typeface="Calibri"/>
                  </a:rPr>
                  <a:t>Årlig omkostning total (DKK)</a:t>
                </a:r>
              </a:p>
            </c:rich>
          </c:tx>
          <c:overlay val="1"/>
        </c:title>
        <c:numFmt formatCode="0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da-DK"/>
          </a:p>
        </c:txPr>
        <c:crossAx val="2094734552"/>
        <c:crosses val="autoZero"/>
        <c:crossBetween val="between"/>
        <c:majorUnit val="7500"/>
        <c:minorUnit val="3750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3801199999999998"/>
          <c:y val="0.39141599999999999"/>
          <c:w val="0.16198799999999999"/>
          <c:h val="0.144973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da-DK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259482</xdr:colOff>
      <xdr:row>19</xdr:row>
      <xdr:rowOff>47962</xdr:rowOff>
    </xdr:from>
    <xdr:to>
      <xdr:col>16</xdr:col>
      <xdr:colOff>428212</xdr:colOff>
      <xdr:row>37</xdr:row>
      <xdr:rowOff>113953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256904</xdr:colOff>
      <xdr:row>2</xdr:row>
      <xdr:rowOff>46506</xdr:rowOff>
    </xdr:from>
    <xdr:to>
      <xdr:col>17</xdr:col>
      <xdr:colOff>365544</xdr:colOff>
      <xdr:row>19</xdr:row>
      <xdr:rowOff>21167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606541</xdr:colOff>
      <xdr:row>2</xdr:row>
      <xdr:rowOff>133200</xdr:rowOff>
    </xdr:from>
    <xdr:to>
      <xdr:col>20</xdr:col>
      <xdr:colOff>89505</xdr:colOff>
      <xdr:row>26</xdr:row>
      <xdr:rowOff>112194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366028</xdr:colOff>
      <xdr:row>30</xdr:row>
      <xdr:rowOff>80286</xdr:rowOff>
    </xdr:from>
    <xdr:to>
      <xdr:col>20</xdr:col>
      <xdr:colOff>547691</xdr:colOff>
      <xdr:row>52</xdr:row>
      <xdr:rowOff>55796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showGridLines="0" workbookViewId="0">
      <selection activeCell="C21" sqref="C21"/>
    </sheetView>
  </sheetViews>
  <sheetFormatPr defaultColWidth="8.85546875" defaultRowHeight="15" customHeight="1" x14ac:dyDescent="0.25"/>
  <cols>
    <col min="1" max="1" width="8.85546875" style="1" customWidth="1"/>
    <col min="2" max="2" width="34.85546875" style="1" customWidth="1"/>
    <col min="3" max="3" width="12.85546875" style="1" customWidth="1"/>
    <col min="4" max="4" width="12.28515625" style="1" customWidth="1"/>
    <col min="5" max="5" width="11.140625" style="1" customWidth="1"/>
    <col min="6" max="6" width="5.7109375" style="1" bestFit="1" customWidth="1"/>
    <col min="7" max="7" width="6" style="1" bestFit="1" customWidth="1"/>
    <col min="8" max="8" width="6.5703125" style="1" bestFit="1" customWidth="1"/>
    <col min="9" max="9" width="21.5703125" style="1" customWidth="1"/>
    <col min="10" max="10" width="98.8554687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x14ac:dyDescent="0.3">
      <c r="A3" s="2"/>
      <c r="B3" s="3" t="s">
        <v>4</v>
      </c>
      <c r="C3" s="2"/>
      <c r="D3" s="2"/>
      <c r="E3" s="2"/>
      <c r="F3" s="2"/>
      <c r="G3" s="2"/>
      <c r="H3" s="2"/>
      <c r="I3" s="2"/>
      <c r="J3" s="4" t="s">
        <v>5</v>
      </c>
    </row>
    <row r="4" spans="1:10" ht="14.65" customHeight="1" thickBot="1" x14ac:dyDescent="0.3">
      <c r="A4" s="2"/>
      <c r="B4" s="5"/>
      <c r="C4" s="69"/>
      <c r="D4" s="5"/>
      <c r="E4" s="72" t="s">
        <v>84</v>
      </c>
      <c r="F4" s="2"/>
      <c r="G4" s="2"/>
      <c r="H4" s="2"/>
      <c r="I4" s="6"/>
      <c r="J4" s="7" t="s">
        <v>6</v>
      </c>
    </row>
    <row r="5" spans="1:10" ht="15.6" customHeight="1" thickBot="1" x14ac:dyDescent="0.3">
      <c r="A5" s="8"/>
      <c r="B5" s="20" t="s">
        <v>7</v>
      </c>
      <c r="C5" s="77">
        <f>Resultat!C32</f>
        <v>1500</v>
      </c>
      <c r="D5" s="21" t="s">
        <v>0</v>
      </c>
      <c r="E5" s="9"/>
      <c r="F5" s="2"/>
      <c r="G5" s="2"/>
      <c r="H5" s="2"/>
      <c r="I5" s="6"/>
      <c r="J5" s="10" t="s">
        <v>8</v>
      </c>
    </row>
    <row r="6" spans="1:10" ht="14.65" customHeight="1" x14ac:dyDescent="0.25">
      <c r="A6" s="8"/>
      <c r="B6" s="11" t="s">
        <v>9</v>
      </c>
      <c r="C6" s="22">
        <f>($C$5*11)</f>
        <v>16500</v>
      </c>
      <c r="D6" s="12" t="s">
        <v>2</v>
      </c>
      <c r="E6" s="13" t="s">
        <v>10</v>
      </c>
      <c r="F6" s="2"/>
      <c r="G6" s="2"/>
      <c r="H6" s="2"/>
      <c r="I6" s="2"/>
      <c r="J6" s="14"/>
    </row>
    <row r="7" spans="1:10" ht="13.5" customHeight="1" x14ac:dyDescent="0.25">
      <c r="A7" s="8"/>
      <c r="B7" s="15" t="s">
        <v>11</v>
      </c>
      <c r="C7" s="78">
        <f>Resultat!F32</f>
        <v>25</v>
      </c>
      <c r="D7" s="16" t="s">
        <v>12</v>
      </c>
      <c r="E7" s="9"/>
      <c r="F7" s="2"/>
      <c r="G7" s="2"/>
      <c r="H7" s="2"/>
      <c r="I7" s="2"/>
      <c r="J7" s="2"/>
    </row>
    <row r="8" spans="1:10" ht="13.5" customHeight="1" x14ac:dyDescent="0.25">
      <c r="A8" s="8"/>
      <c r="B8" s="17" t="s">
        <v>13</v>
      </c>
      <c r="C8" s="79">
        <v>1650</v>
      </c>
      <c r="D8" s="18" t="s">
        <v>14</v>
      </c>
      <c r="E8" s="9"/>
      <c r="F8" s="2"/>
      <c r="G8" s="2"/>
      <c r="H8" s="2"/>
      <c r="I8" s="2"/>
      <c r="J8" s="2"/>
    </row>
    <row r="9" spans="1:10" ht="13.5" customHeight="1" thickBot="1" x14ac:dyDescent="0.3">
      <c r="A9" s="2"/>
      <c r="B9" s="19"/>
      <c r="C9" s="68"/>
      <c r="D9" s="19"/>
      <c r="E9" s="2"/>
      <c r="F9" s="2"/>
      <c r="G9" s="2"/>
      <c r="H9" s="2"/>
      <c r="I9" s="2"/>
      <c r="J9" s="2"/>
    </row>
    <row r="10" spans="1:10" ht="13.5" customHeight="1" thickBot="1" x14ac:dyDescent="0.3">
      <c r="A10" s="8"/>
      <c r="B10" s="20" t="s">
        <v>15</v>
      </c>
      <c r="C10" s="77">
        <f>Resultat!C34</f>
        <v>0</v>
      </c>
      <c r="D10" s="21" t="s">
        <v>16</v>
      </c>
      <c r="E10" s="9"/>
      <c r="F10" s="2"/>
      <c r="G10" s="2"/>
      <c r="H10" s="2"/>
      <c r="I10" s="2"/>
      <c r="J10" s="2"/>
    </row>
    <row r="11" spans="1:10" ht="13.5" customHeight="1" x14ac:dyDescent="0.25">
      <c r="A11" s="8"/>
      <c r="B11" s="11" t="s">
        <v>9</v>
      </c>
      <c r="C11" s="22">
        <f>4.2*C10</f>
        <v>0</v>
      </c>
      <c r="D11" s="12" t="s">
        <v>2</v>
      </c>
      <c r="E11" s="13" t="s">
        <v>77</v>
      </c>
      <c r="F11" s="2"/>
      <c r="G11" s="2"/>
      <c r="H11" s="2"/>
      <c r="I11" s="2"/>
      <c r="J11" s="2"/>
    </row>
    <row r="12" spans="1:10" ht="13.5" customHeight="1" x14ac:dyDescent="0.25">
      <c r="A12" s="8"/>
      <c r="B12" s="15" t="s">
        <v>17</v>
      </c>
      <c r="C12" s="80">
        <f>Resultat!F34</f>
        <v>5.5</v>
      </c>
      <c r="D12" s="16" t="s">
        <v>18</v>
      </c>
      <c r="E12" s="9"/>
      <c r="F12" s="2"/>
      <c r="G12" s="2"/>
      <c r="H12" s="2"/>
      <c r="I12" s="2"/>
      <c r="J12" s="2"/>
    </row>
    <row r="13" spans="1:10" ht="13.5" customHeight="1" x14ac:dyDescent="0.25">
      <c r="A13" s="8"/>
      <c r="B13" s="17" t="s">
        <v>13</v>
      </c>
      <c r="C13" s="79">
        <v>0</v>
      </c>
      <c r="D13" s="18" t="s">
        <v>14</v>
      </c>
      <c r="E13" s="9"/>
      <c r="F13" s="2"/>
      <c r="G13" s="2"/>
      <c r="H13" s="2"/>
      <c r="I13" s="2"/>
      <c r="J13" s="2"/>
    </row>
    <row r="14" spans="1:10" ht="13.5" customHeight="1" x14ac:dyDescent="0.25">
      <c r="A14" s="2"/>
      <c r="B14" s="19"/>
      <c r="C14" s="19"/>
      <c r="D14" s="19"/>
      <c r="E14" s="2"/>
      <c r="F14" s="2"/>
      <c r="G14" s="2"/>
      <c r="H14" s="2"/>
      <c r="I14" s="2"/>
      <c r="J14" s="2"/>
    </row>
    <row r="15" spans="1:10" ht="13.5" customHeight="1" x14ac:dyDescent="0.25">
      <c r="A15" s="8"/>
      <c r="B15" s="20" t="s">
        <v>19</v>
      </c>
      <c r="C15" s="81">
        <f>Resultat!F37</f>
        <v>3.25</v>
      </c>
      <c r="D15" s="23"/>
      <c r="E15" s="13" t="s">
        <v>78</v>
      </c>
      <c r="F15" s="2"/>
      <c r="G15" s="2"/>
      <c r="H15" s="2"/>
      <c r="I15" s="2"/>
      <c r="J15" s="2"/>
    </row>
    <row r="16" spans="1:10" ht="13.5" customHeight="1" x14ac:dyDescent="0.25">
      <c r="A16" s="8"/>
      <c r="B16" s="17" t="s">
        <v>86</v>
      </c>
      <c r="C16" s="79">
        <v>2500</v>
      </c>
      <c r="D16" s="18" t="s">
        <v>20</v>
      </c>
      <c r="E16" s="9"/>
      <c r="F16" s="2"/>
      <c r="G16" s="2"/>
      <c r="H16" s="2"/>
      <c r="I16" s="2"/>
      <c r="J16" s="2"/>
    </row>
    <row r="17" spans="1:10" ht="13.5" customHeight="1" x14ac:dyDescent="0.25">
      <c r="A17" s="2"/>
      <c r="B17" s="19"/>
      <c r="C17" s="19"/>
      <c r="D17" s="19"/>
      <c r="E17" s="2"/>
      <c r="F17" s="2"/>
      <c r="G17" s="2"/>
      <c r="H17" s="2"/>
      <c r="I17" s="2"/>
      <c r="J17" s="2"/>
    </row>
    <row r="18" spans="1:10" ht="13.5" customHeight="1" x14ac:dyDescent="0.25">
      <c r="A18" s="8"/>
      <c r="B18" s="24" t="s">
        <v>21</v>
      </c>
      <c r="C18" s="25">
        <v>900</v>
      </c>
      <c r="D18" s="26" t="s">
        <v>14</v>
      </c>
      <c r="E18" s="9"/>
      <c r="F18" s="2"/>
      <c r="G18" s="2"/>
      <c r="H18" s="2"/>
      <c r="I18" s="2"/>
      <c r="J18" s="2"/>
    </row>
    <row r="19" spans="1:10" ht="13.5" customHeight="1" x14ac:dyDescent="0.25">
      <c r="A19" s="8"/>
      <c r="B19" s="11" t="s">
        <v>22</v>
      </c>
      <c r="C19" s="27">
        <v>0.49249999999999999</v>
      </c>
      <c r="D19" s="12" t="s">
        <v>23</v>
      </c>
      <c r="E19" s="9"/>
      <c r="F19" s="2"/>
      <c r="G19" s="2"/>
      <c r="H19" s="2"/>
      <c r="I19" s="2"/>
      <c r="J19" s="2"/>
    </row>
    <row r="20" spans="1:10" ht="13.5" customHeight="1" x14ac:dyDescent="0.25">
      <c r="A20" s="8"/>
      <c r="B20" s="11" t="s">
        <v>24</v>
      </c>
      <c r="C20" s="28">
        <v>18.75</v>
      </c>
      <c r="D20" s="12" t="s">
        <v>12</v>
      </c>
      <c r="E20" s="9"/>
      <c r="F20" s="2"/>
      <c r="G20" s="2"/>
      <c r="H20" s="2"/>
      <c r="I20" s="2"/>
      <c r="J20" s="2"/>
    </row>
    <row r="21" spans="1:10" ht="13.5" customHeight="1" x14ac:dyDescent="0.25">
      <c r="A21" s="8"/>
      <c r="B21" s="15" t="s">
        <v>25</v>
      </c>
      <c r="C21" s="82">
        <v>20</v>
      </c>
      <c r="D21" s="29"/>
      <c r="E21" s="66" t="s">
        <v>79</v>
      </c>
      <c r="F21" s="2"/>
      <c r="G21" s="2"/>
      <c r="H21" s="2"/>
      <c r="I21" s="2"/>
      <c r="J21" s="2"/>
    </row>
    <row r="22" spans="1:10" ht="13.5" customHeight="1" x14ac:dyDescent="0.25">
      <c r="A22" s="8"/>
      <c r="B22" s="30" t="s">
        <v>26</v>
      </c>
      <c r="C22" s="31">
        <f>IF(Resultat!C38=30,13.1,19.65)</f>
        <v>13.1</v>
      </c>
      <c r="D22" s="32" t="s">
        <v>27</v>
      </c>
      <c r="E22" s="9"/>
      <c r="F22" s="2"/>
      <c r="G22" s="2"/>
      <c r="H22" s="2"/>
      <c r="I22" s="2"/>
      <c r="J22" s="2"/>
    </row>
    <row r="23" spans="1:10" ht="13.5" customHeight="1" x14ac:dyDescent="0.25">
      <c r="A23" s="2"/>
      <c r="B23" s="33" t="s">
        <v>28</v>
      </c>
      <c r="C23" s="34">
        <v>199</v>
      </c>
      <c r="D23" s="33" t="s">
        <v>29</v>
      </c>
      <c r="E23" s="2"/>
      <c r="F23" s="2"/>
      <c r="G23" s="2"/>
      <c r="H23" s="2"/>
      <c r="I23" s="2"/>
      <c r="J23" s="2"/>
    </row>
    <row r="24" spans="1:10" ht="13.5" customHeight="1" x14ac:dyDescent="0.25">
      <c r="A24" s="2"/>
      <c r="B24" s="19"/>
      <c r="C24" s="19"/>
      <c r="D24" s="19"/>
      <c r="E24" s="5"/>
      <c r="F24" s="2"/>
      <c r="G24" s="2"/>
      <c r="H24" s="2"/>
      <c r="I24" s="2"/>
      <c r="J24" s="2"/>
    </row>
    <row r="25" spans="1:10" ht="14.65" customHeight="1" thickBot="1" x14ac:dyDescent="0.3">
      <c r="A25" s="8"/>
      <c r="B25" s="35"/>
      <c r="C25" s="68"/>
      <c r="D25" s="36"/>
      <c r="E25" s="37" t="s">
        <v>30</v>
      </c>
      <c r="F25" s="38" t="s">
        <v>31</v>
      </c>
      <c r="G25" s="39" t="s">
        <v>32</v>
      </c>
      <c r="H25" s="2"/>
      <c r="I25" s="40" t="s">
        <v>33</v>
      </c>
      <c r="J25" s="2"/>
    </row>
    <row r="26" spans="1:10" ht="14.65" customHeight="1" x14ac:dyDescent="0.25">
      <c r="A26" s="8"/>
      <c r="B26" s="15" t="s">
        <v>34</v>
      </c>
      <c r="C26" s="83">
        <f>Resultat!C29</f>
        <v>174</v>
      </c>
      <c r="D26" s="29"/>
      <c r="E26" s="73">
        <v>150</v>
      </c>
      <c r="F26" s="74">
        <f>MIN($C$28,E26)</f>
        <v>150</v>
      </c>
      <c r="G26" s="75">
        <f>C22*1</f>
        <v>13.1</v>
      </c>
      <c r="H26" s="41">
        <f>F26*G26</f>
        <v>1965</v>
      </c>
      <c r="I26" s="42" t="s">
        <v>35</v>
      </c>
      <c r="J26" s="43">
        <v>1</v>
      </c>
    </row>
    <row r="27" spans="1:10" ht="14.65" customHeight="1" thickBot="1" x14ac:dyDescent="0.3">
      <c r="A27" s="8"/>
      <c r="B27" s="15" t="s">
        <v>36</v>
      </c>
      <c r="C27" s="84">
        <f>Resultat!C30</f>
        <v>0</v>
      </c>
      <c r="D27" s="29"/>
      <c r="E27" s="73">
        <v>200</v>
      </c>
      <c r="F27" s="74">
        <f>MIN(($C$28-F26),(E27-E26))</f>
        <v>24</v>
      </c>
      <c r="G27" s="75">
        <f>C$22*0.75</f>
        <v>9.8249999999999993</v>
      </c>
      <c r="H27" s="41">
        <f>F27*G27</f>
        <v>235.79999999999998</v>
      </c>
      <c r="I27" s="42" t="s">
        <v>37</v>
      </c>
      <c r="J27" s="43">
        <v>0.75</v>
      </c>
    </row>
    <row r="28" spans="1:10" ht="14.65" customHeight="1" x14ac:dyDescent="0.25">
      <c r="A28" s="8"/>
      <c r="B28" s="44" t="s">
        <v>38</v>
      </c>
      <c r="C28" s="70">
        <f>C26+C27*0.25</f>
        <v>174</v>
      </c>
      <c r="D28" s="8"/>
      <c r="E28" s="73">
        <v>250</v>
      </c>
      <c r="F28" s="74">
        <f>MIN(($C$28-(F27+F26)),(E28-E27))</f>
        <v>0</v>
      </c>
      <c r="G28" s="75">
        <f>C$22*0.5</f>
        <v>6.55</v>
      </c>
      <c r="H28" s="41">
        <f>F28*G28</f>
        <v>0</v>
      </c>
      <c r="I28" s="42" t="s">
        <v>39</v>
      </c>
      <c r="J28" s="43">
        <v>0.5</v>
      </c>
    </row>
    <row r="29" spans="1:10" ht="13.5" customHeight="1" x14ac:dyDescent="0.25">
      <c r="A29" s="8"/>
      <c r="B29" s="45"/>
      <c r="C29" s="5"/>
      <c r="D29" s="46"/>
      <c r="E29" s="76">
        <v>10000</v>
      </c>
      <c r="F29" s="74">
        <f>MIN(($C$28-(F28+F27+F26)),(E29-E28))</f>
        <v>0</v>
      </c>
      <c r="G29" s="75">
        <f>C$22*0.25</f>
        <v>3.2749999999999999</v>
      </c>
      <c r="H29" s="47">
        <f>F29*G29</f>
        <v>0</v>
      </c>
      <c r="I29" s="48" t="s">
        <v>40</v>
      </c>
      <c r="J29" s="43">
        <v>0.25</v>
      </c>
    </row>
    <row r="30" spans="1:10" ht="13.5" customHeight="1" x14ac:dyDescent="0.25">
      <c r="A30" s="2"/>
      <c r="B30" s="49"/>
      <c r="C30" s="49"/>
      <c r="D30" s="49"/>
      <c r="E30" s="49"/>
      <c r="F30" s="2"/>
      <c r="G30" s="6"/>
      <c r="H30" s="50">
        <f>SUM(H26:H29)</f>
        <v>2200.8000000000002</v>
      </c>
      <c r="I30" s="51" t="s">
        <v>14</v>
      </c>
      <c r="J30" s="52"/>
    </row>
    <row r="31" spans="1:10" ht="13.5" customHeight="1" x14ac:dyDescent="0.25">
      <c r="A31" s="2"/>
      <c r="B31" s="5"/>
      <c r="C31" s="5"/>
      <c r="D31" s="5"/>
      <c r="E31" s="2"/>
      <c r="F31" s="2"/>
      <c r="G31" s="2"/>
      <c r="H31" s="14"/>
      <c r="I31" s="14"/>
      <c r="J31" s="2"/>
    </row>
    <row r="32" spans="1:10" ht="13.5" customHeight="1" x14ac:dyDescent="0.25">
      <c r="A32" s="8"/>
      <c r="B32" s="20" t="s">
        <v>41</v>
      </c>
      <c r="C32" s="81">
        <f>Resultat!F36</f>
        <v>3</v>
      </c>
      <c r="D32" s="21" t="s">
        <v>23</v>
      </c>
      <c r="E32" s="9"/>
      <c r="F32" s="2"/>
      <c r="G32" s="2"/>
      <c r="H32" s="2"/>
      <c r="I32" s="2"/>
      <c r="J32" s="2"/>
    </row>
    <row r="33" spans="1:10" ht="13.5" customHeight="1" x14ac:dyDescent="0.25">
      <c r="A33" s="8"/>
      <c r="B33" s="13" t="s">
        <v>42</v>
      </c>
      <c r="C33" s="53"/>
      <c r="D33" s="8"/>
      <c r="E33" s="9"/>
      <c r="F33" s="2"/>
      <c r="G33" s="2"/>
      <c r="H33" s="2"/>
      <c r="I33" s="2"/>
      <c r="J33" s="2"/>
    </row>
    <row r="34" spans="1:10" ht="13.5" customHeight="1" x14ac:dyDescent="0.25">
      <c r="A34" s="8"/>
      <c r="B34" s="15" t="s">
        <v>43</v>
      </c>
      <c r="C34" s="147" t="s">
        <v>76</v>
      </c>
      <c r="D34" s="29"/>
      <c r="E34" s="65" t="s">
        <v>80</v>
      </c>
      <c r="F34" s="2"/>
      <c r="G34" s="2"/>
      <c r="H34" s="2"/>
      <c r="I34" s="2"/>
      <c r="J34" s="2"/>
    </row>
    <row r="35" spans="1:10" ht="13.5" customHeight="1" thickBot="1" x14ac:dyDescent="0.3">
      <c r="A35" s="8"/>
      <c r="B35" s="13" t="s">
        <v>44</v>
      </c>
      <c r="C35" s="54" t="s">
        <v>45</v>
      </c>
      <c r="D35" s="55" t="s">
        <v>46</v>
      </c>
      <c r="E35" s="9"/>
      <c r="F35" s="2"/>
      <c r="G35" s="2"/>
      <c r="H35" s="2"/>
      <c r="I35" s="2"/>
      <c r="J35" s="2"/>
    </row>
    <row r="36" spans="1:10" ht="14.65" customHeight="1" thickBot="1" x14ac:dyDescent="0.3">
      <c r="A36" s="8"/>
      <c r="B36" s="15" t="s">
        <v>47</v>
      </c>
      <c r="C36" s="77">
        <f>Resultat!C36</f>
        <v>3870</v>
      </c>
      <c r="D36" s="16" t="s">
        <v>2</v>
      </c>
      <c r="E36" s="66" t="s">
        <v>83</v>
      </c>
      <c r="F36" s="2"/>
      <c r="G36" s="2"/>
      <c r="H36" s="2"/>
      <c r="I36" s="2"/>
      <c r="J36" s="2"/>
    </row>
    <row r="37" spans="1:10" ht="15.6" customHeight="1" x14ac:dyDescent="0.25">
      <c r="A37" s="8"/>
      <c r="B37" s="11" t="s">
        <v>48</v>
      </c>
      <c r="C37" s="71">
        <f>(C6+C11)/C15</f>
        <v>5076.9230769230771</v>
      </c>
      <c r="D37" s="12" t="s">
        <v>2</v>
      </c>
      <c r="E37" s="9"/>
      <c r="F37" s="2"/>
      <c r="G37" s="2"/>
      <c r="H37" s="2"/>
      <c r="I37" s="2"/>
      <c r="J37" s="2"/>
    </row>
    <row r="38" spans="1:10" ht="14.65" customHeight="1" x14ac:dyDescent="0.25">
      <c r="A38" s="8"/>
      <c r="B38" s="9"/>
      <c r="C38" s="2"/>
      <c r="D38" s="8"/>
      <c r="E38" s="9"/>
      <c r="F38" s="2"/>
      <c r="G38" s="2"/>
      <c r="H38" s="2"/>
      <c r="I38" s="2"/>
      <c r="J38" s="2"/>
    </row>
    <row r="39" spans="1:10" ht="13.5" customHeight="1" x14ac:dyDescent="0.25">
      <c r="A39" s="8"/>
      <c r="B39" s="44" t="s">
        <v>49</v>
      </c>
      <c r="C39" s="56">
        <f>SUM(C36:C37)</f>
        <v>8946.923076923078</v>
      </c>
      <c r="D39" s="57" t="s">
        <v>2</v>
      </c>
      <c r="E39" s="9"/>
      <c r="F39" s="2"/>
      <c r="G39" s="2"/>
      <c r="H39" s="2"/>
      <c r="I39" s="2"/>
      <c r="J39" s="2"/>
    </row>
    <row r="40" spans="1:10" ht="13.5" customHeight="1" x14ac:dyDescent="0.25">
      <c r="A40" s="8"/>
      <c r="B40" s="11" t="s">
        <v>50</v>
      </c>
      <c r="C40" s="58">
        <f>C39-4000</f>
        <v>4946.923076923078</v>
      </c>
      <c r="D40" s="12" t="s">
        <v>2</v>
      </c>
      <c r="E40" s="65" t="s">
        <v>51</v>
      </c>
      <c r="F40" s="2"/>
      <c r="G40" s="2"/>
      <c r="H40" s="2"/>
      <c r="I40" s="2"/>
      <c r="J40" s="2"/>
    </row>
    <row r="41" spans="1:10" ht="13.5" customHeight="1" x14ac:dyDescent="0.25">
      <c r="A41" s="8"/>
      <c r="B41" s="13" t="s">
        <v>52</v>
      </c>
      <c r="C41" s="59">
        <v>-0.95</v>
      </c>
      <c r="D41" s="55" t="s">
        <v>53</v>
      </c>
      <c r="E41" s="9"/>
      <c r="F41" s="2"/>
      <c r="G41" s="2"/>
      <c r="H41" s="2"/>
      <c r="I41" s="2"/>
      <c r="J41" s="2"/>
    </row>
    <row r="42" spans="1:10" ht="13.5" customHeight="1" x14ac:dyDescent="0.25">
      <c r="A42" s="8"/>
      <c r="B42" s="60" t="s">
        <v>54</v>
      </c>
      <c r="C42" s="61">
        <f>C40*C41</f>
        <v>-4699.5769230769238</v>
      </c>
      <c r="D42" s="32" t="s">
        <v>55</v>
      </c>
      <c r="E42" s="9"/>
      <c r="F42" s="2"/>
      <c r="G42" s="2"/>
      <c r="H42" s="2"/>
      <c r="I42" s="2"/>
      <c r="J42" s="2"/>
    </row>
    <row r="43" spans="1:10" ht="13.5" customHeight="1" x14ac:dyDescent="0.25">
      <c r="A43" s="8"/>
    </row>
  </sheetData>
  <dataValidations count="2">
    <dataValidation type="list" allowBlank="1" showInputMessage="1" showErrorMessage="1" sqref="C21" xr:uid="{00000000-0002-0000-0100-000000000000}">
      <formula1>"20,30,30"</formula1>
    </dataValidation>
    <dataValidation type="list" allowBlank="1" showInputMessage="1" showErrorMessage="1" sqref="C34" xr:uid="{00000000-0002-0000-0100-000001000000}">
      <formula1>"Ja,Nej"</formula1>
    </dataValidation>
  </dataValidation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6"/>
  <sheetViews>
    <sheetView showGridLines="0" tabSelected="1" zoomScaleNormal="100" workbookViewId="0">
      <selection activeCell="F38" sqref="F38"/>
    </sheetView>
  </sheetViews>
  <sheetFormatPr defaultColWidth="8.85546875" defaultRowHeight="15" customHeight="1" x14ac:dyDescent="0.25"/>
  <cols>
    <col min="1" max="1" width="15" style="62" bestFit="1" customWidth="1"/>
    <col min="2" max="2" width="52.85546875" style="62" customWidth="1"/>
    <col min="3" max="3" width="13.28515625" style="62" customWidth="1"/>
    <col min="4" max="4" width="12.42578125" style="62" customWidth="1"/>
    <col min="5" max="5" width="27.85546875" style="62" bestFit="1" customWidth="1"/>
    <col min="6" max="6" width="9.85546875" style="62" bestFit="1" customWidth="1"/>
    <col min="7" max="8" width="8.85546875" style="62" customWidth="1"/>
    <col min="9" max="20" width="8.85546875" style="62"/>
    <col min="21" max="21" width="40.28515625" style="62" bestFit="1" customWidth="1"/>
    <col min="22" max="23" width="8.85546875" style="62"/>
    <col min="24" max="24" width="12" style="62" bestFit="1" customWidth="1"/>
    <col min="25" max="16384" width="8.85546875" style="62"/>
  </cols>
  <sheetData>
    <row r="1" spans="1:23" ht="15.75" customHeight="1" thickBot="1" x14ac:dyDescent="0.3">
      <c r="A1" s="106"/>
      <c r="B1" s="108"/>
      <c r="C1" s="87"/>
      <c r="D1" s="87"/>
      <c r="E1" s="87"/>
      <c r="F1" s="107"/>
      <c r="G1" s="87"/>
      <c r="H1" s="85"/>
    </row>
    <row r="2" spans="1:23" ht="13.5" customHeight="1" x14ac:dyDescent="0.25">
      <c r="A2" s="87"/>
      <c r="B2" s="99"/>
      <c r="C2" s="109" t="s">
        <v>56</v>
      </c>
      <c r="D2" s="109" t="s">
        <v>57</v>
      </c>
      <c r="E2" s="109" t="s">
        <v>58</v>
      </c>
      <c r="F2" s="110" t="s">
        <v>59</v>
      </c>
      <c r="G2" s="87"/>
      <c r="I2" s="127"/>
      <c r="J2" s="128"/>
      <c r="K2" s="128"/>
      <c r="L2" s="128"/>
      <c r="M2" s="128"/>
      <c r="N2" s="128"/>
      <c r="O2" s="128"/>
      <c r="P2" s="128"/>
      <c r="Q2" s="128"/>
      <c r="R2" s="129"/>
    </row>
    <row r="3" spans="1:23" ht="13.5" customHeight="1" x14ac:dyDescent="0.25">
      <c r="A3" s="87"/>
      <c r="B3" s="100" t="s">
        <v>60</v>
      </c>
      <c r="C3" s="89">
        <v>0</v>
      </c>
      <c r="D3" s="90">
        <v>47000</v>
      </c>
      <c r="E3" s="89">
        <v>0</v>
      </c>
      <c r="F3" s="111">
        <v>0</v>
      </c>
      <c r="G3" s="87"/>
      <c r="I3" s="102"/>
      <c r="J3" s="85"/>
      <c r="K3" s="85"/>
      <c r="L3" s="85"/>
      <c r="M3" s="85"/>
      <c r="N3" s="85"/>
      <c r="O3" s="85"/>
      <c r="P3" s="85"/>
      <c r="Q3" s="85"/>
      <c r="R3" s="101"/>
    </row>
    <row r="4" spans="1:23" ht="13.5" customHeight="1" x14ac:dyDescent="0.25">
      <c r="A4" s="87"/>
      <c r="B4" s="100" t="s">
        <v>61</v>
      </c>
      <c r="C4" s="90">
        <v>136000</v>
      </c>
      <c r="D4" s="90"/>
      <c r="E4" s="89">
        <v>0</v>
      </c>
      <c r="F4" s="111">
        <v>0</v>
      </c>
      <c r="G4" s="87"/>
      <c r="I4" s="102"/>
      <c r="J4" s="85"/>
      <c r="K4" s="85"/>
      <c r="L4" s="85"/>
      <c r="M4" s="85"/>
      <c r="N4" s="85"/>
      <c r="O4" s="85"/>
      <c r="P4" s="85"/>
      <c r="Q4" s="85"/>
      <c r="R4" s="101"/>
    </row>
    <row r="5" spans="1:23" ht="13.5" customHeight="1" x14ac:dyDescent="0.25">
      <c r="A5" s="87"/>
      <c r="B5" s="100" t="s">
        <v>87</v>
      </c>
      <c r="C5" s="90">
        <v>136000</v>
      </c>
      <c r="D5" s="89">
        <v>0</v>
      </c>
      <c r="E5" s="89">
        <v>40000</v>
      </c>
      <c r="F5" s="111">
        <v>40000</v>
      </c>
      <c r="G5" s="87"/>
      <c r="I5" s="102"/>
      <c r="J5" s="85"/>
      <c r="K5" s="85"/>
      <c r="L5" s="85"/>
      <c r="M5" s="85"/>
      <c r="N5" s="85"/>
      <c r="O5" s="85"/>
      <c r="P5" s="85"/>
      <c r="Q5" s="85"/>
      <c r="R5" s="101"/>
    </row>
    <row r="6" spans="1:23" ht="13.5" customHeight="1" x14ac:dyDescent="0.25">
      <c r="A6" s="91" t="s">
        <v>85</v>
      </c>
      <c r="B6" s="100" t="s">
        <v>62</v>
      </c>
      <c r="C6" s="90">
        <v>-20000</v>
      </c>
      <c r="D6" s="89"/>
      <c r="E6" s="89"/>
      <c r="F6" s="111"/>
      <c r="G6" s="87"/>
      <c r="I6" s="102"/>
      <c r="J6" s="85"/>
      <c r="K6" s="85"/>
      <c r="L6" s="85"/>
      <c r="M6" s="85"/>
      <c r="N6" s="85"/>
      <c r="O6" s="85"/>
      <c r="P6" s="85"/>
      <c r="Q6" s="85"/>
      <c r="R6" s="101"/>
    </row>
    <row r="7" spans="1:23" ht="13.5" customHeight="1" x14ac:dyDescent="0.25">
      <c r="A7" s="92" t="b">
        <v>0</v>
      </c>
      <c r="B7" s="100" t="s">
        <v>63</v>
      </c>
      <c r="C7" s="93">
        <f>IF(A7=TRUE,E17,0)</f>
        <v>0</v>
      </c>
      <c r="D7" s="93">
        <f>IF(A7=TRUE,E17*2,0)</f>
        <v>0</v>
      </c>
      <c r="E7" s="94"/>
      <c r="F7" s="112"/>
      <c r="G7" s="87"/>
      <c r="I7" s="102"/>
      <c r="J7" s="85"/>
      <c r="K7" s="85"/>
      <c r="L7" s="85"/>
      <c r="M7" s="85"/>
      <c r="N7" s="85"/>
      <c r="O7" s="85"/>
      <c r="P7" s="85"/>
      <c r="Q7" s="85"/>
      <c r="R7" s="101"/>
    </row>
    <row r="8" spans="1:23" ht="13.5" customHeight="1" x14ac:dyDescent="0.25">
      <c r="A8" s="87"/>
      <c r="B8" s="113" t="s">
        <v>102</v>
      </c>
      <c r="C8" s="95">
        <f>SUM(C3:C7)</f>
        <v>252000</v>
      </c>
      <c r="D8" s="95">
        <f>SUM(D3:D7)</f>
        <v>47000</v>
      </c>
      <c r="E8" s="95">
        <f>SUM(E3:E7)</f>
        <v>40000</v>
      </c>
      <c r="F8" s="114">
        <f>SUM(F3:F7)</f>
        <v>40000</v>
      </c>
      <c r="G8" s="87"/>
      <c r="I8" s="102"/>
      <c r="J8" s="85"/>
      <c r="K8" s="85"/>
      <c r="L8" s="85"/>
      <c r="M8" s="85"/>
      <c r="N8" s="85"/>
      <c r="O8" s="85"/>
      <c r="P8" s="85"/>
      <c r="Q8" s="85"/>
      <c r="R8" s="101"/>
    </row>
    <row r="9" spans="1:23" ht="13.5" customHeight="1" x14ac:dyDescent="0.25">
      <c r="A9" s="87"/>
      <c r="B9" s="121" t="s">
        <v>64</v>
      </c>
      <c r="C9" s="98">
        <f>SUM(C5/$C$38)</f>
        <v>4533.333333333333</v>
      </c>
      <c r="D9" s="98" cm="1">
        <f t="array" ref="D9">SUM(D4:D6/$C$38)</f>
        <v>0</v>
      </c>
      <c r="E9" s="98">
        <f>E8/Input!C21</f>
        <v>2000</v>
      </c>
      <c r="F9" s="122">
        <f>F8/Input!C21</f>
        <v>2000</v>
      </c>
      <c r="G9" s="87"/>
      <c r="I9" s="102"/>
      <c r="J9" s="85"/>
      <c r="K9" s="85"/>
      <c r="L9" s="85"/>
      <c r="M9" s="85"/>
      <c r="N9" s="85"/>
      <c r="O9" s="85"/>
      <c r="P9" s="85"/>
      <c r="Q9" s="85"/>
      <c r="R9" s="101"/>
    </row>
    <row r="10" spans="1:23" ht="13.5" customHeight="1" x14ac:dyDescent="0.25">
      <c r="A10" s="87"/>
      <c r="B10" s="115"/>
      <c r="C10" s="96"/>
      <c r="D10" s="96"/>
      <c r="E10" s="96"/>
      <c r="F10" s="116"/>
      <c r="G10" s="87"/>
      <c r="I10" s="102"/>
      <c r="J10" s="85"/>
      <c r="K10" s="85"/>
      <c r="L10" s="85"/>
      <c r="M10" s="85"/>
      <c r="N10" s="85"/>
      <c r="O10" s="85"/>
      <c r="P10" s="85"/>
      <c r="Q10" s="85"/>
      <c r="R10" s="101"/>
    </row>
    <row r="11" spans="1:23" ht="13.5" customHeight="1" x14ac:dyDescent="0.25">
      <c r="A11" s="87"/>
      <c r="B11" s="115"/>
      <c r="C11" s="96"/>
      <c r="D11" s="96"/>
      <c r="E11" s="96"/>
      <c r="F11" s="116"/>
      <c r="G11" s="87"/>
      <c r="I11" s="102"/>
      <c r="J11" s="85"/>
      <c r="K11" s="85"/>
      <c r="L11" s="85"/>
      <c r="M11" s="85"/>
      <c r="N11" s="85"/>
      <c r="O11" s="85"/>
      <c r="P11" s="85"/>
      <c r="Q11" s="85"/>
      <c r="R11" s="101"/>
    </row>
    <row r="12" spans="1:23" ht="13.5" customHeight="1" x14ac:dyDescent="0.25">
      <c r="A12" s="87"/>
      <c r="B12" s="123" t="s">
        <v>65</v>
      </c>
      <c r="C12" s="119">
        <f>(Input!C32)*(Input!C37)+IF(Resultat!F30="Ja",Input!C42,0)</f>
        <v>10531.192307692307</v>
      </c>
      <c r="D12" s="119">
        <f>(Input!C6+Input!C11)*Input!C19</f>
        <v>8126.25</v>
      </c>
      <c r="E12" s="119">
        <f>Input!C5*Input!C7</f>
        <v>37500</v>
      </c>
      <c r="F12" s="124"/>
      <c r="G12" s="87"/>
      <c r="I12" s="102"/>
      <c r="J12" s="85"/>
      <c r="K12" s="85"/>
      <c r="L12" s="85"/>
      <c r="M12" s="85"/>
      <c r="N12" s="85"/>
      <c r="O12" s="85"/>
      <c r="P12" s="85"/>
      <c r="Q12" s="85"/>
      <c r="R12" s="101"/>
    </row>
    <row r="13" spans="1:23" ht="13.5" customHeight="1" x14ac:dyDescent="0.25">
      <c r="A13" s="87"/>
      <c r="B13" s="100" t="s">
        <v>66</v>
      </c>
      <c r="C13" s="94"/>
      <c r="D13" s="94">
        <f>Input!C20*Input!$C$28</f>
        <v>3262.5</v>
      </c>
      <c r="E13" s="94"/>
      <c r="F13" s="112"/>
      <c r="G13" s="87"/>
      <c r="I13" s="102"/>
      <c r="J13" s="85"/>
      <c r="K13" s="85"/>
      <c r="L13" s="85"/>
      <c r="M13" s="85"/>
      <c r="N13" s="85"/>
      <c r="O13" s="85"/>
      <c r="P13" s="85"/>
      <c r="Q13" s="85"/>
      <c r="R13" s="101"/>
    </row>
    <row r="14" spans="1:23" ht="13.5" customHeight="1" x14ac:dyDescent="0.25">
      <c r="A14" s="87"/>
      <c r="B14" s="100" t="s">
        <v>103</v>
      </c>
      <c r="C14" s="94"/>
      <c r="D14" s="94">
        <f>Input!H30</f>
        <v>2200.8000000000002</v>
      </c>
      <c r="E14" s="94"/>
      <c r="F14" s="112"/>
      <c r="I14" s="102"/>
      <c r="J14" s="85"/>
      <c r="K14" s="85"/>
      <c r="L14" s="85"/>
      <c r="M14" s="85"/>
      <c r="N14" s="85"/>
      <c r="O14" s="85"/>
      <c r="P14" s="85"/>
      <c r="Q14" s="85"/>
      <c r="R14" s="101"/>
    </row>
    <row r="15" spans="1:23" ht="13.5" customHeight="1" x14ac:dyDescent="0.25">
      <c r="A15" s="87"/>
      <c r="B15" s="100" t="s">
        <v>13</v>
      </c>
      <c r="C15" s="94">
        <f>Input!$C$16</f>
        <v>2500</v>
      </c>
      <c r="D15" s="97">
        <v>0</v>
      </c>
      <c r="E15" s="94">
        <f>Input!$C$8</f>
        <v>1650</v>
      </c>
      <c r="F15" s="112">
        <f>Input!C13</f>
        <v>0</v>
      </c>
      <c r="G15" s="87"/>
      <c r="I15" s="102"/>
      <c r="J15" s="85"/>
      <c r="K15" s="85"/>
      <c r="L15" s="85"/>
      <c r="M15" s="85"/>
      <c r="N15" s="85"/>
      <c r="O15" s="85"/>
      <c r="P15" s="85"/>
      <c r="Q15" s="85"/>
      <c r="R15" s="101"/>
      <c r="U15" s="85"/>
      <c r="V15" s="85"/>
      <c r="W15" s="85"/>
    </row>
    <row r="16" spans="1:23" ht="13.5" customHeight="1" x14ac:dyDescent="0.25">
      <c r="A16" s="87"/>
      <c r="B16" s="100" t="s">
        <v>67</v>
      </c>
      <c r="C16" s="94"/>
      <c r="D16" s="94">
        <f>Input!C18+12*199</f>
        <v>3288</v>
      </c>
      <c r="E16" s="94"/>
      <c r="F16" s="112"/>
      <c r="G16" s="87"/>
      <c r="I16" s="102"/>
      <c r="J16" s="85"/>
      <c r="K16" s="85"/>
      <c r="L16" s="85"/>
      <c r="M16" s="85"/>
      <c r="N16" s="85"/>
      <c r="O16" s="85"/>
      <c r="P16" s="85"/>
      <c r="Q16" s="85"/>
      <c r="R16" s="101"/>
      <c r="U16" s="85"/>
      <c r="V16" s="85"/>
      <c r="W16" s="85"/>
    </row>
    <row r="17" spans="1:23" ht="13.5" customHeight="1" x14ac:dyDescent="0.25">
      <c r="A17" s="87"/>
      <c r="B17" s="125" t="s">
        <v>68</v>
      </c>
      <c r="C17" s="120">
        <f>SUM(C12:C16)</f>
        <v>13031.192307692307</v>
      </c>
      <c r="D17" s="120">
        <f>SUM(D12:D16)</f>
        <v>16877.55</v>
      </c>
      <c r="E17" s="120">
        <f>SUM(E12:E16)</f>
        <v>39150</v>
      </c>
      <c r="F17" s="126">
        <f>Input!C10*Input!C12+SUM(F12:F16)</f>
        <v>0</v>
      </c>
      <c r="G17" s="87"/>
      <c r="I17" s="102"/>
      <c r="J17" s="85"/>
      <c r="K17" s="85"/>
      <c r="L17" s="85"/>
      <c r="M17" s="85"/>
      <c r="N17" s="85"/>
      <c r="O17" s="85"/>
      <c r="P17" s="85"/>
      <c r="Q17" s="85"/>
      <c r="R17" s="101"/>
      <c r="U17" s="85"/>
      <c r="V17" s="85"/>
      <c r="W17" s="85"/>
    </row>
    <row r="18" spans="1:23" ht="13.5" customHeight="1" x14ac:dyDescent="0.25">
      <c r="A18" s="87"/>
      <c r="B18" s="115"/>
      <c r="C18" s="94"/>
      <c r="D18" s="94"/>
      <c r="E18" s="94"/>
      <c r="F18" s="112"/>
      <c r="G18" s="87"/>
      <c r="I18" s="102"/>
      <c r="J18" s="85"/>
      <c r="K18" s="85"/>
      <c r="L18" s="85"/>
      <c r="M18" s="85"/>
      <c r="N18" s="85"/>
      <c r="O18" s="85"/>
      <c r="P18" s="85"/>
      <c r="Q18" s="85"/>
      <c r="R18" s="101"/>
    </row>
    <row r="19" spans="1:23" ht="13.5" customHeight="1" x14ac:dyDescent="0.25">
      <c r="A19" s="87"/>
      <c r="B19" s="100" t="s">
        <v>69</v>
      </c>
      <c r="C19" s="94">
        <f>C9</f>
        <v>4533.333333333333</v>
      </c>
      <c r="D19" s="94">
        <f>D9</f>
        <v>0</v>
      </c>
      <c r="E19" s="94">
        <f>E9</f>
        <v>2000</v>
      </c>
      <c r="F19" s="112">
        <f>F9</f>
        <v>2000</v>
      </c>
      <c r="G19" s="87"/>
      <c r="I19" s="102"/>
      <c r="J19" s="85"/>
      <c r="K19" s="85"/>
      <c r="L19" s="85"/>
      <c r="M19" s="85"/>
      <c r="N19" s="85"/>
      <c r="O19" s="85"/>
      <c r="P19" s="85"/>
      <c r="Q19" s="85"/>
      <c r="R19" s="101"/>
    </row>
    <row r="20" spans="1:23" ht="13.5" customHeight="1" x14ac:dyDescent="0.25">
      <c r="A20" s="87"/>
      <c r="B20" s="139" t="s">
        <v>70</v>
      </c>
      <c r="C20" s="140">
        <f>C17+C19</f>
        <v>17564.525641025641</v>
      </c>
      <c r="D20" s="140">
        <f>D17+D19</f>
        <v>16877.55</v>
      </c>
      <c r="E20" s="140">
        <f>IF(E17=Input!C8,0,E17+E19)</f>
        <v>41150</v>
      </c>
      <c r="F20" s="141">
        <f>IF(F17=Input!C13,0,F17+F19)</f>
        <v>0</v>
      </c>
      <c r="G20" s="87"/>
      <c r="I20" s="102"/>
      <c r="J20" s="85"/>
      <c r="K20" s="85"/>
      <c r="L20" s="85"/>
      <c r="M20" s="85"/>
      <c r="N20" s="85"/>
      <c r="O20" s="85"/>
      <c r="P20" s="85"/>
      <c r="Q20" s="85"/>
      <c r="R20" s="101"/>
    </row>
    <row r="21" spans="1:23" ht="13.5" customHeight="1" thickBot="1" x14ac:dyDescent="0.3">
      <c r="A21" s="87"/>
      <c r="B21" s="117" t="s">
        <v>71</v>
      </c>
      <c r="C21" s="104"/>
      <c r="D21" s="118">
        <f>D20-D14</f>
        <v>14676.75</v>
      </c>
      <c r="E21" s="104"/>
      <c r="F21" s="105"/>
      <c r="G21" s="87"/>
      <c r="I21" s="102"/>
      <c r="J21" s="85"/>
      <c r="K21" s="85"/>
      <c r="L21" s="85"/>
      <c r="M21" s="85"/>
      <c r="N21" s="85"/>
      <c r="O21" s="85"/>
      <c r="P21" s="85"/>
      <c r="Q21" s="85"/>
      <c r="R21" s="101"/>
    </row>
    <row r="22" spans="1:23" ht="15" customHeight="1" x14ac:dyDescent="0.25">
      <c r="A22" s="88"/>
      <c r="B22" s="149" t="s">
        <v>104</v>
      </c>
      <c r="C22" s="149"/>
      <c r="D22" s="150">
        <f>D14*C38+D8</f>
        <v>113024</v>
      </c>
      <c r="E22" s="87"/>
      <c r="F22" s="87"/>
      <c r="G22" s="87"/>
      <c r="I22" s="102"/>
      <c r="J22" s="85"/>
      <c r="K22" s="85"/>
      <c r="L22" s="85"/>
      <c r="M22" s="85"/>
      <c r="N22" s="85"/>
      <c r="O22" s="85"/>
      <c r="P22" s="85"/>
      <c r="Q22" s="85"/>
      <c r="R22" s="101"/>
    </row>
    <row r="23" spans="1:23" s="63" customFormat="1" ht="15" customHeight="1" x14ac:dyDescent="0.25">
      <c r="A23" s="88"/>
      <c r="B23" s="87"/>
      <c r="C23" s="87"/>
      <c r="D23" s="87"/>
      <c r="E23" s="87"/>
      <c r="F23" s="87"/>
      <c r="G23" s="87"/>
      <c r="I23" s="102"/>
      <c r="J23" s="85"/>
      <c r="K23" s="85"/>
      <c r="L23" s="85"/>
      <c r="M23" s="85"/>
      <c r="N23" s="85"/>
      <c r="O23" s="85"/>
      <c r="P23" s="85"/>
      <c r="Q23" s="85"/>
      <c r="R23" s="101"/>
    </row>
    <row r="24" spans="1:23" ht="13.5" customHeight="1" x14ac:dyDescent="0.3">
      <c r="A24" s="87"/>
      <c r="B24" s="136" t="s">
        <v>5</v>
      </c>
      <c r="C24" s="87"/>
      <c r="D24" s="87"/>
      <c r="E24" s="87"/>
      <c r="F24" s="87"/>
      <c r="G24" s="148"/>
      <c r="I24" s="102"/>
      <c r="J24" s="85"/>
      <c r="K24" s="85"/>
      <c r="L24" s="85"/>
      <c r="M24" s="85"/>
      <c r="N24" s="85"/>
      <c r="O24" s="85"/>
      <c r="P24" s="85"/>
      <c r="Q24" s="85"/>
      <c r="R24" s="101"/>
    </row>
    <row r="25" spans="1:23" ht="13.5" customHeight="1" x14ac:dyDescent="0.25">
      <c r="A25" s="87"/>
      <c r="B25" s="137" t="s">
        <v>94</v>
      </c>
      <c r="C25" s="87"/>
      <c r="D25" s="87"/>
      <c r="E25" s="87"/>
      <c r="F25" s="87"/>
      <c r="G25" s="148"/>
      <c r="I25" s="102"/>
      <c r="J25" s="85"/>
      <c r="K25" s="85"/>
      <c r="L25" s="85"/>
      <c r="M25" s="85"/>
      <c r="N25" s="85"/>
      <c r="O25" s="85"/>
      <c r="P25" s="85"/>
      <c r="Q25" s="85"/>
      <c r="R25" s="101"/>
    </row>
    <row r="26" spans="1:23" ht="13.5" customHeight="1" x14ac:dyDescent="0.25">
      <c r="A26" s="87"/>
      <c r="B26" s="138" t="s">
        <v>95</v>
      </c>
      <c r="F26" s="87"/>
      <c r="G26" s="87"/>
      <c r="I26" s="102"/>
      <c r="J26" s="85"/>
      <c r="K26" s="85"/>
      <c r="L26" s="85"/>
      <c r="M26" s="85"/>
      <c r="N26" s="85"/>
      <c r="O26" s="85"/>
      <c r="P26" s="85"/>
      <c r="Q26" s="85"/>
      <c r="R26" s="101"/>
    </row>
    <row r="27" spans="1:23" ht="13.5" customHeight="1" thickBot="1" x14ac:dyDescent="0.3">
      <c r="A27" s="87"/>
      <c r="I27" s="102"/>
      <c r="J27" s="85"/>
      <c r="K27" s="85"/>
      <c r="L27" s="85"/>
      <c r="M27" s="85"/>
      <c r="N27" s="85"/>
      <c r="O27" s="85"/>
      <c r="P27" s="85"/>
      <c r="Q27" s="85"/>
      <c r="R27" s="101"/>
    </row>
    <row r="28" spans="1:23" ht="13.5" customHeight="1" x14ac:dyDescent="0.25">
      <c r="A28" s="87"/>
      <c r="B28" s="127"/>
      <c r="C28" s="128"/>
      <c r="D28" s="128"/>
      <c r="E28" s="128"/>
      <c r="F28" s="128"/>
      <c r="G28" s="129"/>
      <c r="I28" s="102"/>
      <c r="J28" s="85"/>
      <c r="K28" s="85"/>
      <c r="L28" s="85"/>
      <c r="M28" s="85"/>
      <c r="N28" s="85"/>
      <c r="O28" s="85"/>
      <c r="P28" s="85"/>
      <c r="Q28" s="85"/>
      <c r="R28" s="101"/>
    </row>
    <row r="29" spans="1:23" ht="13.5" customHeight="1" x14ac:dyDescent="0.25">
      <c r="A29" s="87"/>
      <c r="B29" s="100" t="s">
        <v>91</v>
      </c>
      <c r="C29" s="86">
        <v>174</v>
      </c>
      <c r="D29" s="85" t="s">
        <v>1</v>
      </c>
      <c r="E29" s="85"/>
      <c r="F29" s="85"/>
      <c r="G29" s="101"/>
      <c r="I29" s="102"/>
      <c r="J29" s="85"/>
      <c r="K29" s="85"/>
      <c r="L29" s="85"/>
      <c r="M29" s="85"/>
      <c r="N29" s="85"/>
      <c r="O29" s="85"/>
      <c r="P29" s="85"/>
      <c r="Q29" s="85"/>
      <c r="R29" s="101"/>
    </row>
    <row r="30" spans="1:23" ht="13.5" customHeight="1" x14ac:dyDescent="0.25">
      <c r="A30" s="87"/>
      <c r="B30" s="100" t="s">
        <v>92</v>
      </c>
      <c r="C30" s="86"/>
      <c r="D30" s="85" t="s">
        <v>1</v>
      </c>
      <c r="E30" s="146" t="s">
        <v>100</v>
      </c>
      <c r="F30" s="145" t="s">
        <v>76</v>
      </c>
      <c r="G30" s="101"/>
      <c r="I30" s="102"/>
      <c r="J30" s="85"/>
      <c r="K30" s="85"/>
      <c r="L30" s="85"/>
      <c r="M30" s="85"/>
      <c r="N30" s="85"/>
      <c r="O30" s="85"/>
      <c r="P30" s="85"/>
      <c r="Q30" s="85"/>
      <c r="R30" s="101"/>
    </row>
    <row r="31" spans="1:23" ht="13.5" customHeight="1" x14ac:dyDescent="0.25">
      <c r="A31" s="87"/>
      <c r="B31" s="102"/>
      <c r="C31" s="85"/>
      <c r="D31" s="85"/>
      <c r="E31" s="85"/>
      <c r="F31" s="85"/>
      <c r="G31" s="101"/>
      <c r="I31" s="102"/>
      <c r="J31" s="85"/>
      <c r="K31" s="85"/>
      <c r="L31" s="85"/>
      <c r="M31" s="85"/>
      <c r="N31" s="85"/>
      <c r="O31" s="85"/>
      <c r="P31" s="85"/>
      <c r="Q31" s="85"/>
      <c r="R31" s="101"/>
    </row>
    <row r="32" spans="1:23" ht="13.5" customHeight="1" x14ac:dyDescent="0.25">
      <c r="A32" s="87"/>
      <c r="B32" s="102" t="s">
        <v>7</v>
      </c>
      <c r="C32" s="134">
        <v>1500</v>
      </c>
      <c r="D32" s="85" t="s">
        <v>0</v>
      </c>
      <c r="E32" s="85" t="s">
        <v>11</v>
      </c>
      <c r="F32" s="135">
        <v>25</v>
      </c>
      <c r="G32" s="101" t="s">
        <v>90</v>
      </c>
      <c r="I32" s="102"/>
      <c r="J32" s="85"/>
      <c r="K32" s="85"/>
      <c r="L32" s="85"/>
      <c r="M32" s="85"/>
      <c r="N32" s="85"/>
      <c r="O32" s="85"/>
      <c r="P32" s="85"/>
      <c r="Q32" s="85"/>
      <c r="R32" s="101"/>
    </row>
    <row r="33" spans="1:18" ht="13.5" customHeight="1" x14ac:dyDescent="0.25">
      <c r="A33" s="87"/>
      <c r="B33" s="102"/>
      <c r="C33" s="85"/>
      <c r="D33" s="85"/>
      <c r="E33" s="85"/>
      <c r="F33" s="85"/>
      <c r="G33" s="101"/>
      <c r="I33" s="102"/>
      <c r="J33" s="85"/>
      <c r="K33" s="85"/>
      <c r="L33" s="85"/>
      <c r="M33" s="85"/>
      <c r="N33" s="85"/>
      <c r="O33" s="85"/>
      <c r="P33" s="85"/>
      <c r="Q33" s="85"/>
      <c r="R33" s="101"/>
    </row>
    <row r="34" spans="1:18" ht="13.5" customHeight="1" x14ac:dyDescent="0.25">
      <c r="A34" s="87"/>
      <c r="B34" s="102" t="s">
        <v>15</v>
      </c>
      <c r="C34" s="134">
        <v>0</v>
      </c>
      <c r="D34" s="85" t="s">
        <v>16</v>
      </c>
      <c r="E34" s="85" t="s">
        <v>89</v>
      </c>
      <c r="F34" s="135">
        <v>5.5</v>
      </c>
      <c r="G34" s="101" t="s">
        <v>18</v>
      </c>
      <c r="I34" s="102"/>
      <c r="J34" s="85"/>
      <c r="K34" s="85"/>
      <c r="L34" s="85"/>
      <c r="M34" s="85"/>
      <c r="N34" s="85"/>
      <c r="O34" s="85"/>
      <c r="P34" s="85"/>
      <c r="Q34" s="85"/>
      <c r="R34" s="101"/>
    </row>
    <row r="35" spans="1:18" ht="13.5" customHeight="1" x14ac:dyDescent="0.25">
      <c r="A35" s="87"/>
      <c r="B35" s="102"/>
      <c r="C35" s="85"/>
      <c r="D35" s="85"/>
      <c r="E35" s="85"/>
      <c r="F35" s="85"/>
      <c r="G35" s="101"/>
      <c r="I35" s="102"/>
      <c r="J35" s="85"/>
      <c r="K35" s="85"/>
      <c r="L35" s="85"/>
      <c r="M35" s="85"/>
      <c r="N35" s="85"/>
      <c r="O35" s="85"/>
      <c r="P35" s="85"/>
      <c r="Q35" s="85"/>
      <c r="R35" s="101"/>
    </row>
    <row r="36" spans="1:18" ht="13.5" customHeight="1" x14ac:dyDescent="0.25">
      <c r="A36" s="87"/>
      <c r="B36" s="102" t="s">
        <v>88</v>
      </c>
      <c r="C36" s="134">
        <v>3870</v>
      </c>
      <c r="D36" s="85" t="s">
        <v>2</v>
      </c>
      <c r="E36" s="85" t="s">
        <v>3</v>
      </c>
      <c r="F36" s="135">
        <v>3</v>
      </c>
      <c r="G36" s="101" t="s">
        <v>23</v>
      </c>
      <c r="I36" s="102"/>
      <c r="J36" s="85"/>
      <c r="K36" s="85"/>
      <c r="L36" s="85"/>
      <c r="M36" s="85"/>
      <c r="N36" s="85"/>
      <c r="O36" s="85"/>
      <c r="P36" s="85"/>
      <c r="Q36" s="85"/>
      <c r="R36" s="101"/>
    </row>
    <row r="37" spans="1:18" ht="13.5" customHeight="1" x14ac:dyDescent="0.25">
      <c r="A37" s="87"/>
      <c r="B37" s="102"/>
      <c r="C37" s="85"/>
      <c r="D37" s="85"/>
      <c r="E37" s="85" t="s">
        <v>93</v>
      </c>
      <c r="F37" s="135">
        <v>3.25</v>
      </c>
      <c r="G37" s="101"/>
      <c r="I37" s="102"/>
      <c r="J37" s="85"/>
      <c r="K37" s="85"/>
      <c r="L37" s="85"/>
      <c r="M37" s="85"/>
      <c r="N37" s="85"/>
      <c r="O37" s="85"/>
      <c r="P37" s="85"/>
      <c r="Q37" s="85"/>
      <c r="R37" s="101"/>
    </row>
    <row r="38" spans="1:18" ht="13.5" customHeight="1" x14ac:dyDescent="0.25">
      <c r="A38" s="87"/>
      <c r="B38" s="143" t="s">
        <v>98</v>
      </c>
      <c r="C38" s="82">
        <v>30</v>
      </c>
      <c r="D38" s="144" t="s">
        <v>99</v>
      </c>
      <c r="E38" s="87"/>
      <c r="F38" s="87"/>
      <c r="G38" s="142"/>
      <c r="I38" s="102"/>
      <c r="J38" s="85"/>
      <c r="K38" s="85"/>
      <c r="L38" s="85"/>
      <c r="M38" s="85"/>
      <c r="N38" s="85"/>
      <c r="O38" s="85"/>
      <c r="P38" s="85"/>
      <c r="Q38" s="85"/>
      <c r="R38" s="101"/>
    </row>
    <row r="39" spans="1:18" ht="13.5" customHeight="1" thickBot="1" x14ac:dyDescent="0.3">
      <c r="A39" s="87"/>
      <c r="B39" s="103"/>
      <c r="C39" s="104"/>
      <c r="D39" s="104"/>
      <c r="E39" s="104"/>
      <c r="F39" s="104"/>
      <c r="G39" s="105"/>
      <c r="I39" s="102"/>
      <c r="J39" s="85"/>
      <c r="K39" s="85"/>
      <c r="L39" s="85"/>
      <c r="M39" s="85"/>
      <c r="N39" s="85"/>
      <c r="O39" s="85"/>
      <c r="P39" s="85"/>
      <c r="Q39" s="85"/>
      <c r="R39" s="101"/>
    </row>
    <row r="40" spans="1:18" ht="15" customHeight="1" thickBot="1" x14ac:dyDescent="0.3">
      <c r="I40" s="130"/>
      <c r="J40" s="131"/>
      <c r="K40" s="131"/>
      <c r="L40" s="131"/>
      <c r="M40" s="131"/>
      <c r="N40" s="131"/>
      <c r="O40" s="131"/>
      <c r="P40" s="131"/>
      <c r="Q40" s="131"/>
      <c r="R40" s="132"/>
    </row>
    <row r="41" spans="1:18" ht="15" customHeight="1" x14ac:dyDescent="0.25">
      <c r="F41" s="87"/>
      <c r="G41" s="87"/>
    </row>
    <row r="42" spans="1:18" ht="15" customHeight="1" x14ac:dyDescent="0.25">
      <c r="B42" s="67" t="s">
        <v>81</v>
      </c>
      <c r="G42" s="87"/>
    </row>
    <row r="43" spans="1:18" s="63" customFormat="1" ht="15" customHeight="1" x14ac:dyDescent="0.25">
      <c r="B43" s="67" t="s">
        <v>96</v>
      </c>
      <c r="G43" s="62"/>
    </row>
    <row r="44" spans="1:18" ht="15" customHeight="1" x14ac:dyDescent="0.25">
      <c r="B44" s="67" t="s">
        <v>97</v>
      </c>
    </row>
    <row r="45" spans="1:18" ht="15" customHeight="1" x14ac:dyDescent="0.25">
      <c r="B45" s="67" t="s">
        <v>101</v>
      </c>
    </row>
    <row r="46" spans="1:18" ht="15" customHeight="1" x14ac:dyDescent="0.25">
      <c r="B46" s="133" t="s">
        <v>82</v>
      </c>
      <c r="G46" s="63"/>
    </row>
  </sheetData>
  <dataValidations count="2">
    <dataValidation type="list" allowBlank="1" showInputMessage="1" showErrorMessage="1" sqref="C38" xr:uid="{01FD4ADB-AC69-42AD-AD0A-9B6512156B26}">
      <formula1>"20,30,30"</formula1>
    </dataValidation>
    <dataValidation type="list" allowBlank="1" showInputMessage="1" showErrorMessage="1" sqref="F30" xr:uid="{992DFB27-1759-4A7B-B38F-C88E5FB85BA2}">
      <formula1>"Ja,Nej"</formula1>
    </dataValidation>
  </dataValidation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showGridLines="0" workbookViewId="0">
      <selection activeCell="E16" sqref="E16"/>
    </sheetView>
  </sheetViews>
  <sheetFormatPr defaultColWidth="8.85546875" defaultRowHeight="15" customHeight="1" x14ac:dyDescent="0.25"/>
  <cols>
    <col min="1" max="4" width="8.85546875" style="63" customWidth="1"/>
    <col min="5" max="5" width="13.28515625" style="63" customWidth="1"/>
    <col min="6" max="6" width="12.140625" style="63" customWidth="1"/>
    <col min="7" max="7" width="12" style="63" customWidth="1"/>
    <col min="8" max="22" width="8.85546875" style="63" customWidth="1"/>
    <col min="23" max="16384" width="8.85546875" style="63"/>
  </cols>
  <sheetData>
    <row r="1" spans="1:21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3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3.5" customHeight="1" x14ac:dyDescent="0.25">
      <c r="A4" s="2"/>
      <c r="B4" s="2"/>
      <c r="C4" s="42" t="s">
        <v>72</v>
      </c>
      <c r="D4" s="64">
        <f>D7+Input!C21</f>
        <v>2042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customHeight="1" x14ac:dyDescent="0.25">
      <c r="A6" s="2"/>
      <c r="B6" s="2"/>
      <c r="C6" s="42" t="s">
        <v>73</v>
      </c>
      <c r="D6" s="42" t="s">
        <v>74</v>
      </c>
      <c r="E6" s="42" t="s">
        <v>56</v>
      </c>
      <c r="F6" s="42" t="s">
        <v>75</v>
      </c>
      <c r="G6" s="42" t="s">
        <v>58</v>
      </c>
      <c r="H6" s="42" t="s">
        <v>59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3.5" customHeight="1" x14ac:dyDescent="0.25">
      <c r="A7" s="2"/>
      <c r="B7" s="2"/>
      <c r="C7" s="27">
        <v>1</v>
      </c>
      <c r="D7" s="27">
        <v>2022</v>
      </c>
      <c r="E7" s="58">
        <f>Resultat!C4+Resultat!C17+Resultat!C6</f>
        <v>129031.19230769231</v>
      </c>
      <c r="F7" s="58">
        <f>Resultat!D8+Resultat!D17</f>
        <v>63877.55</v>
      </c>
      <c r="G7" s="58">
        <f>Resultat!E4+Resultat!E17</f>
        <v>39150</v>
      </c>
      <c r="H7" s="58">
        <f>Resultat!F4+Resultat!F17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5" customHeight="1" x14ac:dyDescent="0.25">
      <c r="A8" s="2"/>
      <c r="B8" s="2"/>
      <c r="C8" s="27">
        <v>2</v>
      </c>
      <c r="D8" s="27">
        <v>2023</v>
      </c>
      <c r="E8" s="58">
        <f>E7+Resultat!C$20+IF(Input!$C$34="Nej",Input!$C$42,0)</f>
        <v>146595.71794871794</v>
      </c>
      <c r="F8" s="58">
        <f>F7+Resultat!D$20-IF(D8&gt;$D$4,Input!$G$30,0)</f>
        <v>80755.100000000006</v>
      </c>
      <c r="G8" s="58">
        <f>G7+IF(G7=Input!$C$8,0,Resultat!E$20)</f>
        <v>80300</v>
      </c>
      <c r="H8" s="58">
        <f>H7+IF(H7=Input!$C$13,0,Resultat!F$20)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3.5" customHeight="1" x14ac:dyDescent="0.25">
      <c r="A9" s="2"/>
      <c r="B9" s="2"/>
      <c r="C9" s="27">
        <v>3</v>
      </c>
      <c r="D9" s="27">
        <v>2024</v>
      </c>
      <c r="E9" s="58">
        <f>E8+Resultat!C$20+IF(Input!$C$34="Nej",Input!$C$42,0)</f>
        <v>164160.24358974356</v>
      </c>
      <c r="F9" s="58">
        <f>F8+Resultat!D$20-IF(D9&gt;$D$4,Input!$G$30,0)</f>
        <v>97632.650000000009</v>
      </c>
      <c r="G9" s="58">
        <f>G8+IF(G8=Input!$C$8,0,Resultat!E$20)</f>
        <v>121450</v>
      </c>
      <c r="H9" s="58">
        <f>H8+IF(H8=Input!$C$13,0,Resultat!F$20)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customHeight="1" x14ac:dyDescent="0.25">
      <c r="A10" s="2"/>
      <c r="B10" s="2"/>
      <c r="C10" s="27">
        <v>4</v>
      </c>
      <c r="D10" s="27">
        <v>2025</v>
      </c>
      <c r="E10" s="58">
        <f>E9+Resultat!C$20+IF(Input!$C$34="Nej",Input!$C$42,0)</f>
        <v>181724.76923076919</v>
      </c>
      <c r="F10" s="58">
        <f>F9+Resultat!D$20-IF(D10&gt;$D$4,Input!$G$30,0)</f>
        <v>114510.20000000001</v>
      </c>
      <c r="G10" s="58">
        <f>G9+IF(G9=Input!$C$8,0,Resultat!E$20)</f>
        <v>162600</v>
      </c>
      <c r="H10" s="58">
        <f>H9+IF(H9=Input!$C$13,0,Resultat!F$20)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customHeight="1" x14ac:dyDescent="0.25">
      <c r="A11" s="2"/>
      <c r="B11" s="2"/>
      <c r="C11" s="27">
        <v>5</v>
      </c>
      <c r="D11" s="27">
        <v>2026</v>
      </c>
      <c r="E11" s="58">
        <f>E10+Resultat!C$20+IF(Input!$C$34="Nej",Input!$C$42,0)</f>
        <v>199289.29487179482</v>
      </c>
      <c r="F11" s="58">
        <f>F10+Resultat!D$20-IF(D11&gt;$D$4,Input!$G$30,0)</f>
        <v>131387.75</v>
      </c>
      <c r="G11" s="58">
        <f>G10+IF(G10=Input!$C$8,0,Resultat!E$20)</f>
        <v>203750</v>
      </c>
      <c r="H11" s="58">
        <f>H10+IF(H10=Input!$C$13,0,Resultat!F$20)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customHeight="1" x14ac:dyDescent="0.25">
      <c r="A12" s="2"/>
      <c r="B12" s="2"/>
      <c r="C12" s="27">
        <v>6</v>
      </c>
      <c r="D12" s="27">
        <v>2027</v>
      </c>
      <c r="E12" s="58">
        <f>E11+Resultat!C$20+IF(Input!$C$34="Nej",Input!$C$42,0)</f>
        <v>216853.82051282044</v>
      </c>
      <c r="F12" s="58">
        <f>F11+Resultat!D$20-IF(D12&gt;$D$4,Input!$G$30,0)</f>
        <v>148265.29999999999</v>
      </c>
      <c r="G12" s="58">
        <f>G11+IF(G11=Input!$C$8,0,Resultat!E$20)</f>
        <v>244900</v>
      </c>
      <c r="H12" s="58">
        <f>H11+IF(H11=Input!$C$13,0,Resultat!F$20)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customHeight="1" x14ac:dyDescent="0.25">
      <c r="A13" s="2"/>
      <c r="B13" s="2"/>
      <c r="C13" s="27">
        <v>7</v>
      </c>
      <c r="D13" s="27">
        <v>2028</v>
      </c>
      <c r="E13" s="58">
        <f>E12+Resultat!C$20+IF(Input!$C$34="Nej",Input!$C$42,0)</f>
        <v>234418.34615384607</v>
      </c>
      <c r="F13" s="58">
        <f>F12+Resultat!D$20-IF(D13&gt;$D$4,Input!$G$30,0)</f>
        <v>165142.84999999998</v>
      </c>
      <c r="G13" s="58">
        <f>G12+IF(G12=Input!$C$8,0,Resultat!E$20)</f>
        <v>286050</v>
      </c>
      <c r="H13" s="58">
        <f>H12+IF(H12=Input!$C$13,0,Resultat!F$20)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customHeight="1" x14ac:dyDescent="0.25">
      <c r="A14" s="2"/>
      <c r="B14" s="2"/>
      <c r="C14" s="27">
        <v>8</v>
      </c>
      <c r="D14" s="27">
        <v>2029</v>
      </c>
      <c r="E14" s="58">
        <f>E13+Resultat!C$20+IF(Input!$C$34="Nej",Input!$C$42,0)</f>
        <v>251982.87179487169</v>
      </c>
      <c r="F14" s="58">
        <f>F13+Resultat!D$20-IF(D14&gt;$D$4,Input!$G$30,0)</f>
        <v>182020.39999999997</v>
      </c>
      <c r="G14" s="58">
        <f>G13+IF(G13=Input!$C$8,0,Resultat!E$20)</f>
        <v>327200</v>
      </c>
      <c r="H14" s="58">
        <f>H13+IF(H13=Input!$C$13,0,Resultat!F$20)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3.5" customHeight="1" x14ac:dyDescent="0.25">
      <c r="A15" s="2"/>
      <c r="B15" s="2"/>
      <c r="C15" s="27">
        <v>9</v>
      </c>
      <c r="D15" s="27">
        <v>2030</v>
      </c>
      <c r="E15" s="58">
        <f>E14+Resultat!C$20+IF(Input!$C$34="Nej",Input!$C$42,0)</f>
        <v>269547.39743589732</v>
      </c>
      <c r="F15" s="58">
        <f>F14+Resultat!D$20-IF(D15&gt;$D$4,Input!$G$30,0)</f>
        <v>198897.94999999995</v>
      </c>
      <c r="G15" s="58">
        <f>G14+IF(G14=Input!$C$8,0,Resultat!E$20)</f>
        <v>368350</v>
      </c>
      <c r="H15" s="58">
        <f>H14+IF(H14=Input!$C$13,0,Resultat!F$20)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3.5" customHeight="1" x14ac:dyDescent="0.25">
      <c r="A16" s="2"/>
      <c r="B16" s="2"/>
      <c r="C16" s="27">
        <v>10</v>
      </c>
      <c r="D16" s="27">
        <v>2031</v>
      </c>
      <c r="E16" s="58">
        <f>E15+Resultat!C$20-IF(Resultat!$F$30="Nej",Input!$C$42,0)</f>
        <v>287111.92307692295</v>
      </c>
      <c r="F16" s="58">
        <f>F15+Resultat!D$20-IF(D16&gt;$D$4,Input!$G$30,0)</f>
        <v>215775.49999999994</v>
      </c>
      <c r="G16" s="58">
        <f>G15+IF(G15=Input!$C$8,0,Resultat!E$20)</f>
        <v>409500</v>
      </c>
      <c r="H16" s="58">
        <f>H15+IF(H15=Input!$C$13,0,Resultat!F$20)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3.5" customHeight="1" x14ac:dyDescent="0.25">
      <c r="A17" s="2"/>
      <c r="B17" s="2"/>
      <c r="C17" s="27">
        <v>11</v>
      </c>
      <c r="D17" s="27">
        <v>2032</v>
      </c>
      <c r="E17" s="58">
        <f>E16+Resultat!C$20-IF(Resultat!$F$30="Nej",Input!$C$42,0)</f>
        <v>304676.44871794857</v>
      </c>
      <c r="F17" s="58">
        <f>F16+Resultat!D$20-IF(D17&gt;$D$4,Input!$G$30,0)</f>
        <v>232653.04999999993</v>
      </c>
      <c r="G17" s="58">
        <f>G16+IF(G16=Input!$C$8,0,Resultat!E$20)</f>
        <v>450650</v>
      </c>
      <c r="H17" s="58">
        <f>H16+IF(H16=Input!$C$13,0,Resultat!F$20)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3.5" customHeight="1" x14ac:dyDescent="0.25">
      <c r="A18" s="2"/>
      <c r="B18" s="2"/>
      <c r="C18" s="27">
        <v>12</v>
      </c>
      <c r="D18" s="27">
        <v>2033</v>
      </c>
      <c r="E18" s="58">
        <f>E17+Resultat!C$20-IF(Resultat!$F$30="Nej",Input!$C$42,0)</f>
        <v>322240.9743589742</v>
      </c>
      <c r="F18" s="58">
        <f>F17+Resultat!D$20-IF(D18&gt;$D$4,Input!$G$30,0)</f>
        <v>249530.59999999992</v>
      </c>
      <c r="G18" s="58">
        <f>G17+IF(G17=Input!$C$8,0,Resultat!E$20)</f>
        <v>491800</v>
      </c>
      <c r="H18" s="58">
        <f>H17+IF(H17=Input!$C$13,0,Resultat!F$20)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3.5" customHeight="1" x14ac:dyDescent="0.25">
      <c r="A19" s="2"/>
      <c r="B19" s="2"/>
      <c r="C19" s="27">
        <v>13</v>
      </c>
      <c r="D19" s="27">
        <v>2034</v>
      </c>
      <c r="E19" s="58">
        <f>E18+Resultat!C$20-IF(Resultat!$F$30="Nej",Input!$C$42,0)</f>
        <v>339805.49999999983</v>
      </c>
      <c r="F19" s="58">
        <f>F18+Resultat!D$20-IF(D19&gt;$D$4,Input!$G$30,0)</f>
        <v>266408.14999999991</v>
      </c>
      <c r="G19" s="58">
        <f>G18+IF(G18=Input!$C$8,0,Resultat!E$20)</f>
        <v>532950</v>
      </c>
      <c r="H19" s="58">
        <f>H18+IF(H18=Input!$C$13,0,Resultat!F$20)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3.5" customHeight="1" x14ac:dyDescent="0.25">
      <c r="A20" s="2"/>
      <c r="B20" s="2"/>
      <c r="C20" s="27">
        <v>14</v>
      </c>
      <c r="D20" s="27">
        <v>2035</v>
      </c>
      <c r="E20" s="58">
        <f>E19+Resultat!C$20-IF(Resultat!$F$30="Nej",Input!$C$42,0)</f>
        <v>357370.02564102545</v>
      </c>
      <c r="F20" s="58">
        <f>F19+Resultat!D$20-IF(D20&gt;$D$4,Input!$G$30,0)</f>
        <v>283285.6999999999</v>
      </c>
      <c r="G20" s="58">
        <f>G19+IF(G19=Input!$C$8,0,Resultat!E$20)</f>
        <v>574100</v>
      </c>
      <c r="H20" s="58">
        <f>H19+IF(H19=Input!$C$13,0,Resultat!F$20)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3.5" customHeight="1" x14ac:dyDescent="0.25">
      <c r="A21" s="2"/>
      <c r="B21" s="2"/>
      <c r="C21" s="27">
        <v>15</v>
      </c>
      <c r="D21" s="27">
        <v>2036</v>
      </c>
      <c r="E21" s="58">
        <f>E20+Resultat!C$20-IF(Resultat!$F$30="Nej",Input!$C$42,0)</f>
        <v>374934.55128205108</v>
      </c>
      <c r="F21" s="58">
        <f>F20+Resultat!D$20-IF(D21&gt;$D$4,Input!$G$30,0)</f>
        <v>300163.24999999988</v>
      </c>
      <c r="G21" s="58">
        <f>G20+IF(G20=Input!$C$8,0,Resultat!E$20)</f>
        <v>615250</v>
      </c>
      <c r="H21" s="58">
        <f>H20+IF(H20=Input!$C$13,0,Resultat!F$20)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3.5" customHeight="1" x14ac:dyDescent="0.25">
      <c r="A22" s="2"/>
      <c r="B22" s="2"/>
      <c r="C22" s="27">
        <v>16</v>
      </c>
      <c r="D22" s="27">
        <v>2037</v>
      </c>
      <c r="E22" s="58">
        <f>E21+Resultat!C$20-IF(Resultat!$F$30="Nej",Input!$C$42,0)</f>
        <v>392499.0769230767</v>
      </c>
      <c r="F22" s="58">
        <f>F21+Resultat!D$20-IF(D22&gt;$D$4,Input!$G$30,0)</f>
        <v>317040.79999999987</v>
      </c>
      <c r="G22" s="58">
        <f>G21+IF(G21=Input!$C$8,0,Resultat!E$20)</f>
        <v>656400</v>
      </c>
      <c r="H22" s="58">
        <f>H21+IF(H21=Input!$C$13,0,Resultat!F$20)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3.5" customHeight="1" x14ac:dyDescent="0.25">
      <c r="A23" s="2"/>
      <c r="B23" s="2"/>
      <c r="C23" s="27">
        <v>17</v>
      </c>
      <c r="D23" s="27">
        <v>2038</v>
      </c>
      <c r="E23" s="58">
        <f>E22+Resultat!C$20-IF(Resultat!$F$30="Nej",Input!$C$42,0)</f>
        <v>410063.60256410233</v>
      </c>
      <c r="F23" s="58">
        <f>F22+Resultat!D$20-IF(D23&gt;$D$4,Input!$G$30,0)</f>
        <v>333918.34999999986</v>
      </c>
      <c r="G23" s="58">
        <f>G22+IF(G22=Input!$C$8,0,Resultat!E$20)</f>
        <v>697550</v>
      </c>
      <c r="H23" s="58">
        <f>H22+IF(H22=Input!$C$13,0,Resultat!F$20)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3.5" customHeight="1" x14ac:dyDescent="0.25">
      <c r="A24" s="2"/>
      <c r="B24" s="2"/>
      <c r="C24" s="27">
        <v>18</v>
      </c>
      <c r="D24" s="27">
        <v>2039</v>
      </c>
      <c r="E24" s="58">
        <f>E23+Resultat!C$20-IF(Resultat!$F$30="Nej",Input!$C$42,0)</f>
        <v>427628.12820512796</v>
      </c>
      <c r="F24" s="58">
        <f>F23+Resultat!D$20-IF(D24&gt;$D$4,Input!$G$30,0)</f>
        <v>350795.89999999985</v>
      </c>
      <c r="G24" s="58">
        <f>G23+IF(G23=Input!$C$8,0,Resultat!E$20)</f>
        <v>738700</v>
      </c>
      <c r="H24" s="58">
        <f>H23+IF(H23=Input!$C$13,0,Resultat!F$20)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3.5" customHeight="1" x14ac:dyDescent="0.25">
      <c r="A25" s="2"/>
      <c r="B25" s="2"/>
      <c r="C25" s="27">
        <v>19</v>
      </c>
      <c r="D25" s="27">
        <v>2040</v>
      </c>
      <c r="E25" s="58">
        <f>E24+Resultat!C$20-IF(Resultat!$F$30="Nej",Input!$C$42,0)</f>
        <v>445192.65384615358</v>
      </c>
      <c r="F25" s="58">
        <f>F24+Resultat!D$20-IF(D25&gt;$D$4,Input!$G$30,0)</f>
        <v>367673.44999999984</v>
      </c>
      <c r="G25" s="58">
        <f>G24+IF(G24=Input!$C$8,0,Resultat!E$20)</f>
        <v>779850</v>
      </c>
      <c r="H25" s="58">
        <f>H24+IF(H24=Input!$C$13,0,Resultat!F$20)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3.5" customHeight="1" x14ac:dyDescent="0.25">
      <c r="A26" s="2"/>
      <c r="B26" s="2"/>
      <c r="C26" s="27">
        <v>20</v>
      </c>
      <c r="D26" s="27">
        <v>2041</v>
      </c>
      <c r="E26" s="58">
        <f>E25+Resultat!C$20-IF(Resultat!$F$30="Nej",Input!$C$42,0)</f>
        <v>462757.17948717921</v>
      </c>
      <c r="F26" s="58">
        <f>F25+Resultat!D$20-IF(D26&gt;$D$4,Input!$G$30,0)</f>
        <v>384550.99999999983</v>
      </c>
      <c r="G26" s="58">
        <f>G25+IF(G25=Input!$C$8,0,Resultat!E$20)</f>
        <v>821000</v>
      </c>
      <c r="H26" s="58">
        <f>H25+IF(H25=Input!$C$13,0,Resultat!F$20)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3.5" customHeight="1" x14ac:dyDescent="0.25">
      <c r="A27" s="2"/>
      <c r="B27" s="2"/>
      <c r="C27" s="27">
        <v>21</v>
      </c>
      <c r="D27" s="27">
        <v>2042</v>
      </c>
      <c r="E27" s="58">
        <f>E26+Resultat!C$20-IF(Resultat!$F$30="Nej",Input!$C$42,0)</f>
        <v>480321.70512820483</v>
      </c>
      <c r="F27" s="58">
        <f>F26+Resultat!D$20-IF(D27&gt;$D$4,Input!$G$30,0)</f>
        <v>401428.54999999981</v>
      </c>
      <c r="G27" s="58">
        <f>G26+IF(G26=Input!$C$8,0,Resultat!E$20)</f>
        <v>862150</v>
      </c>
      <c r="H27" s="58">
        <f>H26+IF(H26=Input!$C$13,0,Resultat!F$20)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3.5" customHeight="1" x14ac:dyDescent="0.25">
      <c r="A28" s="2"/>
      <c r="B28" s="2"/>
      <c r="C28" s="27">
        <v>22</v>
      </c>
      <c r="D28" s="27">
        <v>2043</v>
      </c>
      <c r="E28" s="58">
        <f>E27+Resultat!C$20-IF(Resultat!$F$30="Nej",Input!$C$42,0)</f>
        <v>497886.23076923046</v>
      </c>
      <c r="F28" s="58">
        <f>F27+Resultat!D$20-IF(D28&gt;$D$4,Input!$G$30,0)</f>
        <v>418306.0999999998</v>
      </c>
      <c r="G28" s="58">
        <f>G27+IF(G27=Input!$C$8,0,Resultat!E$20)</f>
        <v>903300</v>
      </c>
      <c r="H28" s="58">
        <f>H27+IF(H27=Input!$C$13,0,Resultat!F$20)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3.5" customHeight="1" x14ac:dyDescent="0.25">
      <c r="A29" s="2"/>
      <c r="B29" s="2"/>
      <c r="C29" s="27">
        <v>23</v>
      </c>
      <c r="D29" s="27">
        <v>2044</v>
      </c>
      <c r="E29" s="58">
        <f>E28+Resultat!C$20-IF(Resultat!$F$30="Nej",Input!$C$42,0)</f>
        <v>515450.75641025609</v>
      </c>
      <c r="F29" s="58">
        <f>F28+Resultat!D$20-IF(D29&gt;$D$4,Input!$G$30,0)</f>
        <v>435183.64999999979</v>
      </c>
      <c r="G29" s="58">
        <f>G28+IF(G28=Input!$C$8,0,Resultat!E$20)</f>
        <v>944450</v>
      </c>
      <c r="H29" s="58">
        <f>H28+IF(H28=Input!$C$13,0,Resultat!F$20)</f>
        <v>0</v>
      </c>
      <c r="I29" s="2"/>
      <c r="J29" s="2"/>
      <c r="K29" s="42" t="str">
        <f>Resultat!$C$2</f>
        <v>Varmepumpe</v>
      </c>
      <c r="L29" s="58">
        <f>Resultat!$C$20</f>
        <v>17564.525641025641</v>
      </c>
      <c r="M29" s="2"/>
      <c r="N29" s="2"/>
      <c r="O29" s="2"/>
      <c r="P29" s="2"/>
      <c r="Q29" s="2"/>
      <c r="R29" s="2"/>
      <c r="S29" s="2"/>
      <c r="T29" s="2"/>
      <c r="U29" s="2"/>
    </row>
    <row r="30" spans="1:21" ht="13.5" customHeight="1" x14ac:dyDescent="0.25">
      <c r="A30" s="2"/>
      <c r="B30" s="2"/>
      <c r="C30" s="27">
        <v>24</v>
      </c>
      <c r="D30" s="27">
        <v>2045</v>
      </c>
      <c r="E30" s="58">
        <f>E29+Resultat!C$20-IF(Resultat!$F$30="Nej",Input!$C$42,0)</f>
        <v>533015.28205128177</v>
      </c>
      <c r="F30" s="58">
        <f>F29+Resultat!D$20-IF(D30&gt;$D$4,Input!$G$30,0)</f>
        <v>452061.19999999978</v>
      </c>
      <c r="G30" s="58">
        <f>G29+IF(G29=Input!$C$8,0,Resultat!E$20)</f>
        <v>985600</v>
      </c>
      <c r="H30" s="58">
        <f>H29+IF(H29=Input!$C$13,0,Resultat!F$20)</f>
        <v>0</v>
      </c>
      <c r="I30" s="2"/>
      <c r="J30" s="2"/>
      <c r="K30" s="42" t="str">
        <f>Resultat!$D$2</f>
        <v>Fjernvarme +</v>
      </c>
      <c r="L30" s="58">
        <f>Resultat!$D$20</f>
        <v>16877.55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ht="13.5" customHeight="1" x14ac:dyDescent="0.25">
      <c r="A31" s="2"/>
      <c r="B31" s="2"/>
      <c r="C31" s="27">
        <v>25</v>
      </c>
      <c r="D31" s="27">
        <v>2046</v>
      </c>
      <c r="E31" s="58">
        <f>E30+Resultat!C$20-IF(Resultat!$F$30="Nej",Input!$C$42,0)</f>
        <v>550579.8076923074</v>
      </c>
      <c r="F31" s="58">
        <f>F30+Resultat!D$20-IF(D31&gt;$D$4,Input!$G$30,0)</f>
        <v>468938.74999999977</v>
      </c>
      <c r="G31" s="58">
        <f>G30+IF(G30=Input!$C$8,0,Resultat!E$20)</f>
        <v>1026750</v>
      </c>
      <c r="H31" s="58">
        <f>H30+IF(H30=Input!$C$13,0,Resultat!F$20)</f>
        <v>0</v>
      </c>
      <c r="I31" s="2"/>
      <c r="J31" s="2"/>
      <c r="K31" s="42" t="str">
        <f>Resultat!$E$2</f>
        <v>Gas</v>
      </c>
      <c r="L31" s="58">
        <f>Resultat!$E$20</f>
        <v>41150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ht="13.5" customHeight="1" x14ac:dyDescent="0.25">
      <c r="A32" s="2"/>
      <c r="B32" s="2"/>
      <c r="C32" s="27">
        <v>26</v>
      </c>
      <c r="D32" s="27">
        <v>2047</v>
      </c>
      <c r="E32" s="58">
        <f>E31+Resultat!C$20-IF(Resultat!$F$30="Nej",Input!$C$42,0)</f>
        <v>568144.33333333302</v>
      </c>
      <c r="F32" s="58">
        <f>F31+Resultat!D$20-IF(D32&gt;$D$4,Input!$G$30,0)</f>
        <v>485816.29999999976</v>
      </c>
      <c r="G32" s="58">
        <f>G31+IF(G31=Input!$C$8,0,Resultat!E$20)</f>
        <v>1067900</v>
      </c>
      <c r="H32" s="58">
        <f>H31+IF(H31=Input!$C$13,0,Resultat!F$20)</f>
        <v>0</v>
      </c>
      <c r="I32" s="2"/>
      <c r="J32" s="2"/>
      <c r="K32" s="42" t="str">
        <f>Resultat!$F$2</f>
        <v>Pillefyr</v>
      </c>
      <c r="L32" s="58">
        <f>Resultat!$F$20</f>
        <v>0</v>
      </c>
      <c r="M32" s="2"/>
      <c r="N32" s="2"/>
      <c r="O32" s="2"/>
      <c r="P32" s="2"/>
      <c r="Q32" s="2"/>
      <c r="R32" s="2"/>
      <c r="S32" s="2"/>
      <c r="T32" s="2"/>
      <c r="U32" s="2"/>
    </row>
    <row r="33" spans="1:21" ht="13.5" customHeight="1" x14ac:dyDescent="0.25">
      <c r="A33" s="2"/>
      <c r="B33" s="2"/>
      <c r="C33" s="27">
        <v>27</v>
      </c>
      <c r="D33" s="27">
        <v>2048</v>
      </c>
      <c r="E33" s="58">
        <f>E32+Resultat!C$20-IF(Resultat!$F$30="Nej",Input!$C$42,0)</f>
        <v>585708.85897435865</v>
      </c>
      <c r="F33" s="58">
        <f>F32+Resultat!D$20-IF(D33&gt;$D$4,Input!$G$30,0)</f>
        <v>502693.84999999974</v>
      </c>
      <c r="G33" s="58">
        <f>G32+IF(G32=Input!$C$8,0,Resultat!E$20)</f>
        <v>1109050</v>
      </c>
      <c r="H33" s="58">
        <f>H32+IF(H32=Input!$C$13,0,Resultat!F$20)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3.5" customHeight="1" x14ac:dyDescent="0.25">
      <c r="A34" s="2"/>
      <c r="B34" s="2"/>
      <c r="C34" s="27">
        <v>28</v>
      </c>
      <c r="D34" s="27">
        <v>2049</v>
      </c>
      <c r="E34" s="58">
        <f>E33+Resultat!C$20-IF(Resultat!$F$30="Nej",Input!$C$42,0)</f>
        <v>603273.38461538428</v>
      </c>
      <c r="F34" s="58">
        <f>F33+Resultat!D$20-IF(D34&gt;$D$4,Input!$G$30,0)</f>
        <v>519571.39999999973</v>
      </c>
      <c r="G34" s="58">
        <f>G33+IF(G33=Input!$C$8,0,Resultat!E$20)</f>
        <v>1150200</v>
      </c>
      <c r="H34" s="58">
        <f>H33+IF(H33=Input!$C$13,0,Resultat!F$20)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3.5" customHeight="1" x14ac:dyDescent="0.25">
      <c r="A35" s="2"/>
      <c r="B35" s="2"/>
      <c r="C35" s="27">
        <v>29</v>
      </c>
      <c r="D35" s="27">
        <v>2050</v>
      </c>
      <c r="E35" s="58">
        <f>E34+Resultat!C$20-IF(Resultat!$F$30="Nej",Input!$C$42,0)</f>
        <v>620837.9102564099</v>
      </c>
      <c r="F35" s="58">
        <f>F34+Resultat!D$20-IF(D35&gt;$D$4,Input!$G$30,0)</f>
        <v>536448.94999999972</v>
      </c>
      <c r="G35" s="58">
        <f>G34+IF(G34=Input!$C$8,0,Resultat!E$20)</f>
        <v>1191350</v>
      </c>
      <c r="H35" s="58">
        <f>H34+IF(H34=Input!$C$13,0,Resultat!F$20)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3.5" customHeight="1" x14ac:dyDescent="0.25">
      <c r="A36" s="2"/>
      <c r="B36" s="2"/>
      <c r="C36" s="27"/>
      <c r="D36" s="27"/>
      <c r="E36" s="58"/>
      <c r="F36" s="58"/>
      <c r="G36" s="58"/>
      <c r="H36" s="5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.5" customHeight="1" x14ac:dyDescent="0.25">
      <c r="A37" s="2"/>
      <c r="B37" s="2"/>
      <c r="C37" s="27"/>
      <c r="D37" s="27"/>
      <c r="E37" s="58"/>
      <c r="F37" s="58"/>
      <c r="G37" s="58"/>
      <c r="H37" s="5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.5" customHeight="1" x14ac:dyDescent="0.25">
      <c r="A38" s="2"/>
      <c r="B38" s="2"/>
      <c r="C38" s="27"/>
      <c r="D38" s="27"/>
      <c r="E38" s="58"/>
      <c r="F38" s="58"/>
      <c r="G38" s="58"/>
      <c r="H38" s="5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.5" customHeight="1" x14ac:dyDescent="0.25">
      <c r="A39" s="2"/>
      <c r="B39" s="2"/>
      <c r="C39" s="27"/>
      <c r="D39" s="27"/>
      <c r="E39" s="58"/>
      <c r="F39" s="58"/>
      <c r="G39" s="58"/>
      <c r="H39" s="5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 x14ac:dyDescent="0.25">
      <c r="A40" s="2"/>
      <c r="B40" s="2"/>
      <c r="C40" s="27"/>
      <c r="D40" s="27"/>
      <c r="E40" s="58"/>
      <c r="F40" s="58"/>
      <c r="G40" s="58"/>
      <c r="H40" s="5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 x14ac:dyDescent="0.25">
      <c r="A41" s="2"/>
      <c r="B41" s="2"/>
      <c r="C41" s="27"/>
      <c r="D41" s="27"/>
      <c r="E41" s="58"/>
      <c r="F41" s="58"/>
      <c r="G41" s="58"/>
      <c r="H41" s="5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 x14ac:dyDescent="0.25">
      <c r="A42" s="2"/>
      <c r="B42" s="2"/>
      <c r="C42" s="27"/>
      <c r="D42" s="27"/>
      <c r="E42" s="58"/>
      <c r="F42" s="58"/>
      <c r="G42" s="58"/>
      <c r="H42" s="5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 x14ac:dyDescent="0.25">
      <c r="A43" s="2"/>
      <c r="B43" s="2"/>
      <c r="C43" s="27"/>
      <c r="D43" s="27"/>
      <c r="E43" s="58"/>
      <c r="F43" s="58"/>
      <c r="G43" s="58"/>
      <c r="H43" s="5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 x14ac:dyDescent="0.25">
      <c r="A44" s="2"/>
      <c r="B44" s="2"/>
      <c r="C44" s="27"/>
      <c r="D44" s="27"/>
      <c r="E44" s="58"/>
      <c r="F44" s="58"/>
      <c r="G44" s="58"/>
      <c r="H44" s="5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 x14ac:dyDescent="0.25">
      <c r="A45" s="2"/>
      <c r="B45" s="2"/>
      <c r="C45" s="27"/>
      <c r="D45" s="27"/>
      <c r="E45" s="58"/>
      <c r="F45" s="58"/>
      <c r="G45" s="58"/>
      <c r="H45" s="5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Resultat</vt:lpstr>
      <vt:lpstr>Grafik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B. Rosenlund</dc:creator>
  <cp:lastModifiedBy>Bjarne Rosenlund</cp:lastModifiedBy>
  <dcterms:created xsi:type="dcterms:W3CDTF">2022-09-07T06:34:09Z</dcterms:created>
  <dcterms:modified xsi:type="dcterms:W3CDTF">2022-10-16T08:29:04Z</dcterms:modified>
</cp:coreProperties>
</file>